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参考＜配点比率算出＞（設計）" sheetId="1" r:id="rId1"/>
    <sheet name="参考＜配点比率算出＞ (診断)" sheetId="2" r:id="rId2"/>
  </sheets>
  <definedNames>
    <definedName name="_xlnm.Print_Area" localSheetId="1">'参考＜配点比率算出＞ (診断)'!$A$8:$L$41</definedName>
    <definedName name="_xlnm.Print_Area" localSheetId="0">'参考＜配点比率算出＞（設計）'!$A$8:$N$44</definedName>
  </definedNames>
  <calcPr fullCalcOnLoad="1"/>
</workbook>
</file>

<file path=xl/sharedStrings.xml><?xml version="1.0" encoding="utf-8"?>
<sst xmlns="http://schemas.openxmlformats.org/spreadsheetml/2006/main" count="479" uniqueCount="217">
  <si>
    <t>★計算結果にエラー値＃ＮＡＭＥ？が返される場合</t>
  </si>
  <si>
    <t>　　「ＭＲＯＵＮＤ」関数が使用できない場合は、分析ツールアドインの組み込みを行ってから使用して下さい。</t>
  </si>
  <si>
    <t>２．［アドイン］一覧の［分析ツール］チェックボックスをオンにし、［ＯＫ］をクリック</t>
  </si>
  <si>
    <t>３．必要に応じて、セットアッププログラムで表示される手順に従って操作</t>
  </si>
  <si>
    <t>黄色着色</t>
  </si>
  <si>
    <t>セルに必要事項を入力し、総括調査員以外の調査職員の分野別配点比率（各分野比率）を設定</t>
  </si>
  <si>
    <t>●概算工事費比率</t>
  </si>
  <si>
    <t>建築　：　設備</t>
  </si>
  <si>
    <t>●創意工夫の余地</t>
  </si>
  <si>
    <t>←大：１　小：２</t>
  </si>
  <si>
    <t>←（建築）＋（設備）＝１となるように設定</t>
  </si>
  <si>
    <t>電気　：　機械</t>
  </si>
  <si>
    <t>●業務内容</t>
  </si>
  <si>
    <t>業務分野</t>
  </si>
  <si>
    <t>分野比率</t>
  </si>
  <si>
    <t>各分野の配点比率</t>
  </si>
  <si>
    <t>全業務分野を含む場合
（概算工事比率が０の分野を除く）</t>
  </si>
  <si>
    <t>含まれない分野の割り振り</t>
  </si>
  <si>
    <t>Aを小数点第4位以下を切り捨てた後、0.005単位で丸めた場合</t>
  </si>
  <si>
    <t>Aを0.005単位で丸めた場合</t>
  </si>
  <si>
    <t>各分野
比率</t>
  </si>
  <si>
    <t>有：１
無：０</t>
  </si>
  <si>
    <t>（適宜手入力）</t>
  </si>
  <si>
    <t>備考</t>
  </si>
  <si>
    <t>Aとの差
（B1－A）</t>
  </si>
  <si>
    <t>Aとの差
（B2－A）</t>
  </si>
  <si>
    <t>＜確定＞</t>
  </si>
  <si>
    <t>建築</t>
  </si>
  <si>
    <t>積算</t>
  </si>
  <si>
    <t>電気設備</t>
  </si>
  <si>
    <t>機械設備</t>
  </si>
  <si>
    <t>合計</t>
  </si>
  <si>
    <t>ゴールシークにより、総括調査員と総括調査員以外の調査職員（その他調査員）の配点比率（調査員比率）を算出</t>
  </si>
  <si>
    <t>表示されるボックスに以下を入力</t>
  </si>
  <si>
    <t>数式入力セル：</t>
  </si>
  <si>
    <t>・・・総括調査員の配点と、その他調査員の配点の差</t>
  </si>
  <si>
    <t>目標値：</t>
  </si>
  <si>
    <t>・・・上記の差の目標値が０</t>
  </si>
  <si>
    <t>変化させるセル：</t>
  </si>
  <si>
    <t>・・・上記の差が０となる時の、その他調査員の配点比率</t>
  </si>
  <si>
    <t>総括調査員</t>
  </si>
  <si>
    <t>その他調査員</t>
  </si>
  <si>
    <t>←「数式入力セル」＜ゴールシーク＞・・・目標値＝０</t>
  </si>
  <si>
    <t>評価項目</t>
  </si>
  <si>
    <t>評価の視点</t>
  </si>
  <si>
    <t>創意工夫の余地</t>
  </si>
  <si>
    <t>総括調査員</t>
  </si>
  <si>
    <t>主任調査員または調査員</t>
  </si>
  <si>
    <t>各分野</t>
  </si>
  <si>
    <t>大きい
業務</t>
  </si>
  <si>
    <t>小さい
業務</t>
  </si>
  <si>
    <t>建築</t>
  </si>
  <si>
    <t>電気設備</t>
  </si>
  <si>
    <t>意匠</t>
  </si>
  <si>
    <t>構造</t>
  </si>
  <si>
    <t>積算</t>
  </si>
  <si>
    <t>配点</t>
  </si>
  <si>
    <t>直接評価</t>
  </si>
  <si>
    <t>土木</t>
  </si>
  <si>
    <t>総括調査員評定点、主任調査員と各分野評定点の合計の比率</t>
  </si>
  <si>
    <t>←「変化させるセル」＜ゴールシーク＞</t>
  </si>
  <si>
    <t>各分野比率</t>
  </si>
  <si>
    <t>－</t>
  </si>
  <si>
    <t>業務実施体制</t>
  </si>
  <si>
    <t>実施体制、自主管理</t>
  </si>
  <si>
    <t>（創意工夫の余地の大きい業務）</t>
  </si>
  <si>
    <t>管理技術者の能力</t>
  </si>
  <si>
    <t>業務の全体把握</t>
  </si>
  <si>
    <t>管理技術力</t>
  </si>
  <si>
    <t>（業務全体に関する評価）</t>
  </si>
  <si>
    <t>工程管理</t>
  </si>
  <si>
    <t>工程管理能力</t>
  </si>
  <si>
    <t>●</t>
  </si>
  <si>
    <t>●</t>
  </si>
  <si>
    <t>（創意工夫の余地の小さい業務）</t>
  </si>
  <si>
    <t>取組姿勢、責任感の強さ</t>
  </si>
  <si>
    <t>責任感、積極性、倫理観</t>
  </si>
  <si>
    <t>●</t>
  </si>
  <si>
    <t>／5</t>
  </si>
  <si>
    <t>説明力（プレゼンテーション力）、協調性</t>
  </si>
  <si>
    <t>説明力、弾力性、調整能力</t>
  </si>
  <si>
    <t>←管理技術者配点</t>
  </si>
  <si>
    <t>主任担当技術者の能力</t>
  </si>
  <si>
    <t>他分野との調整</t>
  </si>
  <si>
    <t>専門技術力</t>
  </si>
  <si>
    <t>（担当分野に関する評価）</t>
  </si>
  <si>
    <t>業務の実施状況</t>
  </si>
  <si>
    <t>業務履行中の説明資料</t>
  </si>
  <si>
    <t>記載の程度</t>
  </si>
  <si>
    <t>成果品の品質</t>
  </si>
  <si>
    <t>途中成果物の内容</t>
  </si>
  <si>
    <t>コスト把握能力</t>
  </si>
  <si>
    <t>調整及び説明、対応の迅速性</t>
  </si>
  <si>
    <t>打合せ内容の理解、記録</t>
  </si>
  <si>
    <t>業務遂行技術力</t>
  </si>
  <si>
    <t>指示、協議事項への対応</t>
  </si>
  <si>
    <t>提案力、改善力</t>
  </si>
  <si>
    <t>設計提案等の説明（プレゼンテーション力）</t>
  </si>
  <si>
    <t>与条件の理解、業務への反映（設計提案）</t>
  </si>
  <si>
    <t>与条件の理解、円滑な業務遂行、技術的検討</t>
  </si>
  <si>
    <t>仕様書、基準類の理解</t>
  </si>
  <si>
    <t>施工に関する一般的な知識</t>
  </si>
  <si>
    <t>施工時への配慮</t>
  </si>
  <si>
    <t>創意工夫、積極的な提案</t>
  </si>
  <si>
    <t>専門的な知識、法令等の理解、特定行政庁等との調整</t>
  </si>
  <si>
    <t>業務目的の達成度</t>
  </si>
  <si>
    <t>業務目的の達成度</t>
  </si>
  <si>
    <t>成果物の内容</t>
  </si>
  <si>
    <t>課題への対応</t>
  </si>
  <si>
    <t>物理的条件、社会的条件</t>
  </si>
  <si>
    <t>要望、コスト</t>
  </si>
  <si>
    <t>調査職員評定点の計算</t>
  </si>
  <si>
    <t>各分野得点</t>
  </si>
  <si>
    <t>各分野配点</t>
  </si>
  <si>
    <t>総括調査員評定点、総合評定点、各分野評定点（６５＋３５×①÷②）</t>
  </si>
  <si>
    <t>調査職員得点（Σ①）</t>
  </si>
  <si>
    <t>調査職員配点（Σ②）</t>
  </si>
  <si>
    <t>（創意工夫の余地の
　　　　　　小さい業務）</t>
  </si>
  <si>
    <t>調査職員評定点（６５＋３５×④÷⑤）</t>
  </si>
  <si>
    <t>１．［ツール］メニューの［アドイン］をクリック</t>
  </si>
  <si>
    <t>※四捨五入の関係で、【表－２】の例と一致しない場合がある。</t>
  </si>
  <si>
    <t>①</t>
  </si>
  <si>
    <t>A</t>
  </si>
  <si>
    <t>B1</t>
  </si>
  <si>
    <t>B2</t>
  </si>
  <si>
    <t>②</t>
  </si>
  <si>
    <t>１．</t>
  </si>
  <si>
    <t>２．</t>
  </si>
  <si>
    <t>L52</t>
  </si>
  <si>
    <t>M59</t>
  </si>
  <si>
    <t>３．</t>
  </si>
  <si>
    <r>
      <t>［ＯＫ］</t>
    </r>
    <r>
      <rPr>
        <sz val="11"/>
        <rFont val="ＭＳ Ｐゴシック"/>
        <family val="3"/>
      </rPr>
      <t>をクリック</t>
    </r>
  </si>
  <si>
    <t>：</t>
  </si>
  <si>
    <t>機械設備</t>
  </si>
  <si>
    <t>電気設備</t>
  </si>
  <si>
    <t>①</t>
  </si>
  <si>
    <t>②-１</t>
  </si>
  <si>
    <t>②-２</t>
  </si>
  <si>
    <t>②-３</t>
  </si>
  <si>
    <t>②-４</t>
  </si>
  <si>
    <t>②-５</t>
  </si>
  <si>
    <t>②-６</t>
  </si>
  <si>
    <t>②-７</t>
  </si>
  <si>
    <t>業務の実施能力</t>
  </si>
  <si>
    <t>●</t>
  </si>
  <si>
    <t>●</t>
  </si>
  <si>
    <t>／5</t>
  </si>
  <si>
    <t>●</t>
  </si>
  <si>
    <t>●</t>
  </si>
  <si>
    <t>●</t>
  </si>
  <si>
    <t>●</t>
  </si>
  <si>
    <t>●</t>
  </si>
  <si>
    <t>●</t>
  </si>
  <si>
    <t>　　（途中成果物）に関する評価</t>
  </si>
  <si>
    <t>●</t>
  </si>
  <si>
    <t>／14</t>
  </si>
  <si>
    <t>／10</t>
  </si>
  <si>
    <t>－</t>
  </si>
  <si>
    <t>－</t>
  </si>
  <si>
    <t>／28</t>
  </si>
  <si>
    <t>／20</t>
  </si>
  <si>
    <t>①</t>
  </si>
  <si>
    <t>②</t>
  </si>
  <si>
    <t>③</t>
  </si>
  <si>
    <t>④</t>
  </si>
  <si>
    <t>（創意工夫の余地の
　　　　　　大きい業務）</t>
  </si>
  <si>
    <t>⑤</t>
  </si>
  <si>
    <t>⑥</t>
  </si>
  <si>
    <t>B2</t>
  </si>
  <si>
    <t>②</t>
  </si>
  <si>
    <t>１．</t>
  </si>
  <si>
    <t>２．</t>
  </si>
  <si>
    <t>小計</t>
  </si>
  <si>
    <t>業務の実施能力</t>
  </si>
  <si>
    <t>構造</t>
  </si>
  <si>
    <t>●概算調査費比率</t>
  </si>
  <si>
    <t>A</t>
  </si>
  <si>
    <t>分野比率による配点比率</t>
  </si>
  <si>
    <t>機械設備</t>
  </si>
  <si>
    <t>電気設備</t>
  </si>
  <si>
    <t>①</t>
  </si>
  <si>
    <t>②-１</t>
  </si>
  <si>
    <t>②-２</t>
  </si>
  <si>
    <t>②-３</t>
  </si>
  <si>
    <t>②-４</t>
  </si>
  <si>
    <t>②-５</t>
  </si>
  <si>
    <t>②-６</t>
  </si>
  <si>
    <t>②-７</t>
  </si>
  <si>
    <t>●</t>
  </si>
  <si>
    <t>／5</t>
  </si>
  <si>
    <t>●</t>
  </si>
  <si>
    <t>業務の実施状況</t>
  </si>
  <si>
    <t>／9</t>
  </si>
  <si>
    <t>　　（途中成果物）に関する評価</t>
  </si>
  <si>
    <t>●</t>
  </si>
  <si>
    <t>●</t>
  </si>
  <si>
    <t>●</t>
  </si>
  <si>
    <t>／12</t>
  </si>
  <si>
    <t>①</t>
  </si>
  <si>
    <t>②</t>
  </si>
  <si>
    <t>③</t>
  </si>
  <si>
    <t>④</t>
  </si>
  <si>
    <t>⑤</t>
  </si>
  <si>
    <t>⑥</t>
  </si>
  <si>
    <t>K43</t>
  </si>
  <si>
    <t>L50</t>
  </si>
  <si>
    <t>-</t>
  </si>
  <si>
    <t>＜参考＞　配点比率計算シート　【診断業務用】</t>
  </si>
  <si>
    <t>＜参考＞　配点比率計算シート　【設計業務用】</t>
  </si>
  <si>
    <t>－</t>
  </si>
  <si>
    <t>－</t>
  </si>
  <si>
    <t>総合</t>
  </si>
  <si>
    <t>電気</t>
  </si>
  <si>
    <t>機械</t>
  </si>
  <si>
    <r>
      <t>［ツール］</t>
    </r>
    <r>
      <rPr>
        <sz val="11"/>
        <rFont val="ＭＳ Ｐゴシック"/>
        <family val="3"/>
      </rPr>
      <t>メニューの</t>
    </r>
    <r>
      <rPr>
        <b/>
        <sz val="11"/>
        <rFont val="ＭＳ Ｐゴシック"/>
        <family val="3"/>
      </rPr>
      <t>［ゴールシーク］</t>
    </r>
    <r>
      <rPr>
        <sz val="11"/>
        <rFont val="ＭＳ Ｐゴシック"/>
        <family val="3"/>
      </rPr>
      <t>をクリック
（</t>
    </r>
    <r>
      <rPr>
        <b/>
        <sz val="11"/>
        <rFont val="ＭＳ Ｐゴシック"/>
        <family val="3"/>
      </rPr>
      <t xml:space="preserve">[データ] </t>
    </r>
    <r>
      <rPr>
        <sz val="11"/>
        <rFont val="ＭＳ Ｐゴシック"/>
        <family val="3"/>
      </rPr>
      <t>タブの</t>
    </r>
    <r>
      <rPr>
        <b/>
        <sz val="11"/>
        <rFont val="ＭＳ Ｐゴシック"/>
        <family val="3"/>
      </rPr>
      <t xml:space="preserve"> [データ ツール]</t>
    </r>
    <r>
      <rPr>
        <sz val="11"/>
        <rFont val="ＭＳ Ｐゴシック"/>
        <family val="3"/>
      </rPr>
      <t xml:space="preserve"> で</t>
    </r>
    <r>
      <rPr>
        <b/>
        <sz val="11"/>
        <rFont val="ＭＳ Ｐゴシック"/>
        <family val="3"/>
      </rPr>
      <t xml:space="preserve"> [What-If 分析] </t>
    </r>
    <r>
      <rPr>
        <sz val="11"/>
        <rFont val="ＭＳ Ｐゴシック"/>
        <family val="3"/>
      </rPr>
      <t>をクリックし、</t>
    </r>
    <r>
      <rPr>
        <b/>
        <sz val="11"/>
        <rFont val="ＭＳ Ｐゴシック"/>
        <family val="3"/>
      </rPr>
      <t xml:space="preserve">[ゴール シーク] </t>
    </r>
    <r>
      <rPr>
        <sz val="11"/>
        <rFont val="ＭＳ Ｐゴシック"/>
        <family val="3"/>
      </rPr>
      <t>をクリック）</t>
    </r>
  </si>
  <si>
    <t>新築の場合は、
意匠：構造：積算
＝７：２：１
を基本としている。</t>
  </si>
  <si>
    <t>原則、
設計：積算＝９：１
とする。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</si>
</sst>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"/>
    <numFmt numFmtId="183" formatCode="0_ "/>
    <numFmt numFmtId="184" formatCode="0.0000_ "/>
    <numFmt numFmtId="185" formatCode="0.00000_ "/>
    <numFmt numFmtId="186" formatCode="0.00000000000000000_ "/>
    <numFmt numFmtId="187" formatCode="0.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color indexed="12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12"/>
      <name val="ＭＳ ゴシック"/>
      <family val="3"/>
    </font>
    <font>
      <sz val="8"/>
      <color indexed="4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10"/>
      <color indexed="8"/>
      <name val="HGPｺﾞｼｯｸE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13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Dashed"/>
      <right style="mediumDashed"/>
      <top style="mediumDashed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Dashed"/>
      <right style="mediumDashed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Dashed"/>
      <right style="mediumDash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mediumDashed"/>
      <right style="mediumDashed"/>
      <top style="thin"/>
      <bottom style="hair"/>
    </border>
    <border>
      <left style="thick"/>
      <right style="thick"/>
      <top style="thin"/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Dashed"/>
      <right style="mediumDashed"/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ck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Dashed"/>
      <right style="mediumDash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thick"/>
      <top>
        <color indexed="63"/>
      </top>
      <bottom style="hair"/>
    </border>
    <border>
      <left style="mediumDashed"/>
      <right style="mediumDashed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hair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Dot"/>
    </border>
    <border>
      <left style="medium"/>
      <right style="medium"/>
      <top style="medium"/>
      <bottom style="dashDot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dashDot"/>
      <bottom style="hair"/>
    </border>
    <border>
      <left style="medium"/>
      <right style="thin"/>
      <top style="dashDot"/>
      <bottom style="hair"/>
    </border>
    <border>
      <left style="thin"/>
      <right style="thin"/>
      <top style="dashDot"/>
      <bottom style="hair"/>
    </border>
    <border>
      <left style="thin"/>
      <right style="medium"/>
      <top style="dashDot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dashDot"/>
    </border>
    <border>
      <left>
        <color indexed="63"/>
      </left>
      <right>
        <color indexed="63"/>
      </right>
      <top style="hair"/>
      <bottom style="dashDot"/>
    </border>
    <border>
      <left>
        <color indexed="63"/>
      </left>
      <right style="medium"/>
      <top style="hair"/>
      <bottom style="dashDot"/>
    </border>
    <border>
      <left style="medium"/>
      <right style="medium"/>
      <top style="hair"/>
      <bottom style="dashDot"/>
    </border>
    <border>
      <left style="medium"/>
      <right style="thin"/>
      <top style="hair"/>
      <bottom style="dashDot"/>
    </border>
    <border>
      <left style="thin"/>
      <right style="thin"/>
      <top style="hair"/>
      <bottom style="dashDot"/>
    </border>
    <border>
      <left style="thin"/>
      <right style="medium"/>
      <top style="hair"/>
      <bottom style="dashDot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>
        <color indexed="63"/>
      </left>
      <right style="thin"/>
      <top style="hair"/>
      <bottom style="dashDot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Dashed"/>
      <right style="mediumDashed"/>
      <top style="thin"/>
      <bottom style="thin"/>
    </border>
    <border>
      <left style="mediumDashed"/>
      <right style="mediumDashed"/>
      <top style="thin"/>
      <bottom style="mediumDashed"/>
    </border>
    <border>
      <left style="mediumDashed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Dot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81" fontId="0" fillId="0" borderId="21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1" fontId="8" fillId="0" borderId="24" xfId="0" applyNumberFormat="1" applyFont="1" applyBorder="1" applyAlignment="1">
      <alignment vertical="center"/>
    </xf>
    <xf numFmtId="185" fontId="8" fillId="0" borderId="25" xfId="0" applyNumberFormat="1" applyFont="1" applyBorder="1" applyAlignment="1">
      <alignment vertical="center"/>
    </xf>
    <xf numFmtId="185" fontId="8" fillId="0" borderId="23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15" fillId="34" borderId="26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3" fillId="34" borderId="27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181" fontId="0" fillId="0" borderId="27" xfId="0" applyNumberFormat="1" applyBorder="1" applyAlignment="1">
      <alignment vertical="center"/>
    </xf>
    <xf numFmtId="185" fontId="0" fillId="0" borderId="29" xfId="0" applyNumberFormat="1" applyBorder="1" applyAlignment="1">
      <alignment vertical="center"/>
    </xf>
    <xf numFmtId="181" fontId="8" fillId="0" borderId="30" xfId="0" applyNumberFormat="1" applyFont="1" applyBorder="1" applyAlignment="1">
      <alignment vertical="center"/>
    </xf>
    <xf numFmtId="185" fontId="8" fillId="0" borderId="31" xfId="0" applyNumberFormat="1" applyFont="1" applyBorder="1" applyAlignment="1">
      <alignment vertical="center"/>
    </xf>
    <xf numFmtId="185" fontId="8" fillId="0" borderId="29" xfId="0" applyNumberFormat="1" applyFont="1" applyBorder="1" applyAlignment="1">
      <alignment vertical="center"/>
    </xf>
    <xf numFmtId="181" fontId="15" fillId="34" borderId="32" xfId="0" applyNumberFormat="1" applyFont="1" applyFill="1" applyBorder="1" applyAlignment="1">
      <alignment vertical="center"/>
    </xf>
    <xf numFmtId="0" fontId="13" fillId="34" borderId="33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81" fontId="0" fillId="0" borderId="33" xfId="0" applyNumberFormat="1" applyBorder="1" applyAlignment="1">
      <alignment vertical="center"/>
    </xf>
    <xf numFmtId="185" fontId="0" fillId="0" borderId="16" xfId="0" applyNumberFormat="1" applyBorder="1" applyAlignment="1">
      <alignment vertical="center"/>
    </xf>
    <xf numFmtId="181" fontId="8" fillId="0" borderId="34" xfId="0" applyNumberFormat="1" applyFont="1" applyBorder="1" applyAlignment="1">
      <alignment vertical="center"/>
    </xf>
    <xf numFmtId="185" fontId="8" fillId="0" borderId="35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81" fontId="15" fillId="34" borderId="36" xfId="0" applyNumberFormat="1" applyFont="1" applyFill="1" applyBorder="1" applyAlignment="1">
      <alignment vertical="center"/>
    </xf>
    <xf numFmtId="181" fontId="8" fillId="0" borderId="37" xfId="0" applyNumberFormat="1" applyFont="1" applyBorder="1" applyAlignment="1">
      <alignment vertical="center"/>
    </xf>
    <xf numFmtId="181" fontId="15" fillId="34" borderId="38" xfId="0" applyNumberFormat="1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185" fontId="0" fillId="0" borderId="40" xfId="0" applyNumberFormat="1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185" fontId="8" fillId="0" borderId="42" xfId="0" applyNumberFormat="1" applyFont="1" applyBorder="1" applyAlignment="1">
      <alignment vertical="center"/>
    </xf>
    <xf numFmtId="185" fontId="8" fillId="0" borderId="40" xfId="0" applyNumberFormat="1" applyFont="1" applyBorder="1" applyAlignment="1">
      <alignment vertical="center"/>
    </xf>
    <xf numFmtId="181" fontId="15" fillId="34" borderId="43" xfId="0" applyNumberFormat="1" applyFont="1" applyFill="1" applyBorder="1" applyAlignment="1">
      <alignment vertical="center"/>
    </xf>
    <xf numFmtId="0" fontId="13" fillId="34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81" fontId="0" fillId="0" borderId="44" xfId="0" applyNumberFormat="1" applyBorder="1" applyAlignment="1">
      <alignment vertical="center"/>
    </xf>
    <xf numFmtId="185" fontId="0" fillId="0" borderId="46" xfId="0" applyNumberFormat="1" applyBorder="1" applyAlignment="1">
      <alignment vertical="center"/>
    </xf>
    <xf numFmtId="181" fontId="8" fillId="0" borderId="47" xfId="0" applyNumberFormat="1" applyFont="1" applyBorder="1" applyAlignment="1">
      <alignment vertical="center"/>
    </xf>
    <xf numFmtId="185" fontId="8" fillId="0" borderId="48" xfId="0" applyNumberFormat="1" applyFont="1" applyBorder="1" applyAlignment="1">
      <alignment vertical="center"/>
    </xf>
    <xf numFmtId="185" fontId="8" fillId="0" borderId="46" xfId="0" applyNumberFormat="1" applyFont="1" applyBorder="1" applyAlignment="1">
      <alignment vertical="center"/>
    </xf>
    <xf numFmtId="181" fontId="15" fillId="34" borderId="49" xfId="0" applyNumberFormat="1" applyFont="1" applyFill="1" applyBorder="1" applyAlignment="1">
      <alignment vertical="center"/>
    </xf>
    <xf numFmtId="181" fontId="8" fillId="0" borderId="50" xfId="0" applyNumberFormat="1" applyFon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15" fillId="34" borderId="52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1" fontId="8" fillId="36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181" fontId="17" fillId="36" borderId="0" xfId="0" applyNumberFormat="1" applyFont="1" applyFill="1" applyAlignment="1">
      <alignment vertical="center"/>
    </xf>
    <xf numFmtId="181" fontId="0" fillId="0" borderId="0" xfId="0" applyNumberFormat="1" applyAlignment="1">
      <alignment vertical="center"/>
    </xf>
    <xf numFmtId="181" fontId="10" fillId="0" borderId="0" xfId="0" applyNumberFormat="1" applyFont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Alignment="1" quotePrefix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1" fillId="0" borderId="55" xfId="0" applyFont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0" fontId="15" fillId="37" borderId="56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38" borderId="56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82" fontId="2" fillId="0" borderId="76" xfId="0" applyNumberFormat="1" applyFont="1" applyBorder="1" applyAlignment="1">
      <alignment horizontal="center" vertical="center"/>
    </xf>
    <xf numFmtId="181" fontId="20" fillId="0" borderId="63" xfId="0" applyNumberFormat="1" applyFont="1" applyBorder="1" applyAlignment="1">
      <alignment horizontal="center" vertical="center"/>
    </xf>
    <xf numFmtId="181" fontId="20" fillId="0" borderId="65" xfId="0" applyNumberFormat="1" applyFont="1" applyBorder="1" applyAlignment="1">
      <alignment horizontal="center" vertical="center"/>
    </xf>
    <xf numFmtId="181" fontId="20" fillId="0" borderId="11" xfId="0" applyNumberFormat="1" applyFont="1" applyBorder="1" applyAlignment="1">
      <alignment horizontal="center" vertical="center"/>
    </xf>
    <xf numFmtId="181" fontId="20" fillId="0" borderId="66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3" fillId="0" borderId="79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vertical="center"/>
    </xf>
    <xf numFmtId="0" fontId="3" fillId="0" borderId="85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74" xfId="0" applyFont="1" applyBorder="1" applyAlignment="1">
      <alignment horizontal="right" vertical="center"/>
    </xf>
    <xf numFmtId="0" fontId="2" fillId="0" borderId="90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36" borderId="99" xfId="0" applyFont="1" applyFill="1" applyBorder="1" applyAlignment="1">
      <alignment horizontal="center" vertical="center"/>
    </xf>
    <xf numFmtId="0" fontId="2" fillId="36" borderId="100" xfId="0" applyFont="1" applyFill="1" applyBorder="1" applyAlignment="1">
      <alignment horizontal="center" vertical="center"/>
    </xf>
    <xf numFmtId="0" fontId="2" fillId="36" borderId="101" xfId="0" applyFont="1" applyFill="1" applyBorder="1" applyAlignment="1">
      <alignment horizontal="center" vertical="center"/>
    </xf>
    <xf numFmtId="0" fontId="2" fillId="36" borderId="10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3" xfId="0" applyFont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06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3" fillId="0" borderId="108" xfId="0" applyFont="1" applyFill="1" applyBorder="1" applyAlignment="1">
      <alignment horizontal="left" vertical="center"/>
    </xf>
    <xf numFmtId="0" fontId="2" fillId="0" borderId="108" xfId="0" applyFont="1" applyFill="1" applyBorder="1" applyAlignment="1">
      <alignment vertical="center" wrapText="1"/>
    </xf>
    <xf numFmtId="0" fontId="3" fillId="0" borderId="109" xfId="0" applyFont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2" fillId="0" borderId="85" xfId="0" applyFont="1" applyBorder="1" applyAlignment="1">
      <alignment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2" fillId="0" borderId="85" xfId="0" applyFont="1" applyBorder="1" applyAlignment="1">
      <alignment horizontal="left" vertical="center"/>
    </xf>
    <xf numFmtId="0" fontId="20" fillId="0" borderId="85" xfId="0" applyFont="1" applyFill="1" applyBorder="1" applyAlignment="1">
      <alignment vertical="center" wrapText="1"/>
    </xf>
    <xf numFmtId="0" fontId="22" fillId="0" borderId="9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 wrapText="1"/>
    </xf>
    <xf numFmtId="0" fontId="3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0" fontId="3" fillId="0" borderId="90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39" borderId="90" xfId="0" applyFont="1" applyFill="1" applyBorder="1" applyAlignment="1">
      <alignment vertical="center" wrapText="1"/>
    </xf>
    <xf numFmtId="0" fontId="3" fillId="39" borderId="92" xfId="0" applyFont="1" applyFill="1" applyBorder="1" applyAlignment="1">
      <alignment horizontal="center" vertical="center"/>
    </xf>
    <xf numFmtId="0" fontId="2" fillId="39" borderId="90" xfId="0" applyFont="1" applyFill="1" applyBorder="1" applyAlignment="1">
      <alignment horizontal="center" vertical="center"/>
    </xf>
    <xf numFmtId="0" fontId="2" fillId="39" borderId="114" xfId="0" applyFont="1" applyFill="1" applyBorder="1" applyAlignment="1">
      <alignment horizontal="center" vertical="center"/>
    </xf>
    <xf numFmtId="0" fontId="2" fillId="39" borderId="93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2" fillId="39" borderId="94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left" vertical="center"/>
    </xf>
    <xf numFmtId="0" fontId="2" fillId="39" borderId="91" xfId="0" applyFont="1" applyFill="1" applyBorder="1" applyAlignment="1">
      <alignment vertical="center" wrapText="1"/>
    </xf>
    <xf numFmtId="0" fontId="2" fillId="39" borderId="91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left" vertical="center"/>
    </xf>
    <xf numFmtId="0" fontId="2" fillId="39" borderId="108" xfId="0" applyFont="1" applyFill="1" applyBorder="1" applyAlignment="1">
      <alignment vertical="center" wrapText="1"/>
    </xf>
    <xf numFmtId="0" fontId="3" fillId="39" borderId="109" xfId="0" applyFont="1" applyFill="1" applyBorder="1" applyAlignment="1">
      <alignment horizontal="center" vertical="center"/>
    </xf>
    <xf numFmtId="0" fontId="2" fillId="39" borderId="108" xfId="0" applyFont="1" applyFill="1" applyBorder="1" applyAlignment="1">
      <alignment horizontal="center" vertical="center"/>
    </xf>
    <xf numFmtId="0" fontId="2" fillId="39" borderId="115" xfId="0" applyFont="1" applyFill="1" applyBorder="1" applyAlignment="1">
      <alignment horizontal="center" vertical="center"/>
    </xf>
    <xf numFmtId="0" fontId="2" fillId="39" borderId="116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17" xfId="0" applyFont="1" applyFill="1" applyBorder="1" applyAlignment="1">
      <alignment horizontal="center" vertical="center"/>
    </xf>
    <xf numFmtId="0" fontId="3" fillId="0" borderId="118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39" borderId="85" xfId="0" applyFont="1" applyFill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2" fillId="39" borderId="90" xfId="0" applyFont="1" applyFill="1" applyBorder="1" applyAlignment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94" xfId="0" applyFont="1" applyBorder="1" applyAlignment="1">
      <alignment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3" fillId="0" borderId="12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vertical="center"/>
    </xf>
    <xf numFmtId="0" fontId="2" fillId="0" borderId="125" xfId="0" applyFont="1" applyFill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83" fontId="2" fillId="36" borderId="70" xfId="0" applyNumberFormat="1" applyFont="1" applyFill="1" applyBorder="1" applyAlignment="1">
      <alignment horizontal="center" vertical="center"/>
    </xf>
    <xf numFmtId="183" fontId="2" fillId="36" borderId="137" xfId="0" applyNumberFormat="1" applyFont="1" applyFill="1" applyBorder="1" applyAlignment="1">
      <alignment horizontal="center" vertical="center"/>
    </xf>
    <xf numFmtId="183" fontId="2" fillId="36" borderId="138" xfId="0" applyNumberFormat="1" applyFont="1" applyFill="1" applyBorder="1" applyAlignment="1">
      <alignment horizontal="center" vertical="center"/>
    </xf>
    <xf numFmtId="183" fontId="2" fillId="36" borderId="73" xfId="0" applyNumberFormat="1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33" borderId="135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2" fillId="33" borderId="13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vertical="center"/>
    </xf>
    <xf numFmtId="0" fontId="8" fillId="33" borderId="69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right" vertical="center"/>
    </xf>
    <xf numFmtId="0" fontId="2" fillId="36" borderId="144" xfId="0" applyFont="1" applyFill="1" applyBorder="1" applyAlignment="1">
      <alignment horizontal="center" vertical="center"/>
    </xf>
    <xf numFmtId="0" fontId="2" fillId="36" borderId="98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vertical="center" wrapText="1"/>
    </xf>
    <xf numFmtId="0" fontId="2" fillId="39" borderId="10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111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119" xfId="0" applyFont="1" applyBorder="1" applyAlignment="1">
      <alignment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3" fillId="0" borderId="150" xfId="0" applyFont="1" applyBorder="1" applyAlignment="1">
      <alignment vertical="center"/>
    </xf>
    <xf numFmtId="180" fontId="15" fillId="37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181" fontId="15" fillId="34" borderId="151" xfId="0" applyNumberFormat="1" applyFont="1" applyFill="1" applyBorder="1" applyAlignment="1">
      <alignment vertical="center"/>
    </xf>
    <xf numFmtId="181" fontId="15" fillId="34" borderId="152" xfId="0" applyNumberFormat="1" applyFont="1" applyFill="1" applyBorder="1" applyAlignment="1">
      <alignment vertical="center"/>
    </xf>
    <xf numFmtId="181" fontId="15" fillId="34" borderId="153" xfId="0" applyNumberFormat="1" applyFont="1" applyFill="1" applyBorder="1" applyAlignment="1">
      <alignment vertical="center"/>
    </xf>
    <xf numFmtId="181" fontId="15" fillId="34" borderId="154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8" fillId="0" borderId="156" xfId="0" applyNumberFormat="1" applyFont="1" applyBorder="1" applyAlignment="1">
      <alignment vertical="center"/>
    </xf>
    <xf numFmtId="185" fontId="8" fillId="0" borderId="133" xfId="0" applyNumberFormat="1" applyFont="1" applyBorder="1" applyAlignment="1">
      <alignment vertical="center"/>
    </xf>
    <xf numFmtId="185" fontId="8" fillId="0" borderId="130" xfId="0" applyNumberFormat="1" applyFont="1" applyBorder="1" applyAlignment="1">
      <alignment vertical="center"/>
    </xf>
    <xf numFmtId="181" fontId="8" fillId="0" borderId="157" xfId="0" applyNumberFormat="1" applyFont="1" applyBorder="1" applyAlignment="1">
      <alignment vertical="center"/>
    </xf>
    <xf numFmtId="0" fontId="8" fillId="0" borderId="107" xfId="0" applyFont="1" applyBorder="1" applyAlignment="1">
      <alignment horizontal="center" vertical="center" wrapText="1"/>
    </xf>
    <xf numFmtId="181" fontId="0" fillId="0" borderId="158" xfId="0" applyNumberFormat="1" applyBorder="1" applyAlignment="1">
      <alignment vertical="center"/>
    </xf>
    <xf numFmtId="0" fontId="16" fillId="0" borderId="68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4" fillId="0" borderId="27" xfId="0" applyFont="1" applyBorder="1" applyAlignment="1">
      <alignment vertical="center"/>
    </xf>
    <xf numFmtId="0" fontId="64" fillId="0" borderId="141" xfId="0" applyFont="1" applyBorder="1" applyAlignment="1">
      <alignment horizontal="center" vertical="center"/>
    </xf>
    <xf numFmtId="0" fontId="64" fillId="0" borderId="33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39" borderId="84" xfId="0" applyFont="1" applyFill="1" applyBorder="1" applyAlignment="1">
      <alignment horizontal="center" vertical="center"/>
    </xf>
    <xf numFmtId="0" fontId="8" fillId="0" borderId="154" xfId="0" applyFont="1" applyBorder="1" applyAlignment="1">
      <alignment vertical="center"/>
    </xf>
    <xf numFmtId="0" fontId="2" fillId="39" borderId="114" xfId="0" applyFont="1" applyFill="1" applyBorder="1" applyAlignment="1">
      <alignment horizontal="center" vertical="center"/>
    </xf>
    <xf numFmtId="0" fontId="2" fillId="39" borderId="95" xfId="0" applyFont="1" applyFill="1" applyBorder="1" applyAlignment="1">
      <alignment horizontal="center" vertical="center"/>
    </xf>
    <xf numFmtId="0" fontId="2" fillId="39" borderId="15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41" xfId="0" applyFont="1" applyBorder="1" applyAlignment="1">
      <alignment horizontal="center" vertical="center"/>
    </xf>
    <xf numFmtId="183" fontId="2" fillId="0" borderId="126" xfId="0" applyNumberFormat="1" applyFont="1" applyFill="1" applyBorder="1" applyAlignment="1">
      <alignment horizontal="center" vertical="center"/>
    </xf>
    <xf numFmtId="183" fontId="2" fillId="0" borderId="124" xfId="0" applyNumberFormat="1" applyFont="1" applyFill="1" applyBorder="1" applyAlignment="1">
      <alignment horizontal="center" vertical="center"/>
    </xf>
    <xf numFmtId="183" fontId="2" fillId="0" borderId="5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1" fontId="2" fillId="36" borderId="162" xfId="0" applyNumberFormat="1" applyFont="1" applyFill="1" applyBorder="1" applyAlignment="1">
      <alignment horizontal="center" vertical="center"/>
    </xf>
    <xf numFmtId="1" fontId="2" fillId="36" borderId="71" xfId="0" applyNumberFormat="1" applyFont="1" applyFill="1" applyBorder="1" applyAlignment="1">
      <alignment horizontal="center" vertical="center"/>
    </xf>
    <xf numFmtId="1" fontId="2" fillId="36" borderId="163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6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39" borderId="166" xfId="0" applyFont="1" applyFill="1" applyBorder="1" applyAlignment="1">
      <alignment horizontal="center" vertical="center" textRotation="255" wrapText="1"/>
    </xf>
    <xf numFmtId="0" fontId="2" fillId="39" borderId="167" xfId="0" applyFont="1" applyFill="1" applyBorder="1" applyAlignment="1">
      <alignment horizontal="center" vertical="center" textRotation="255" wrapText="1"/>
    </xf>
    <xf numFmtId="0" fontId="2" fillId="39" borderId="168" xfId="0" applyFont="1" applyFill="1" applyBorder="1" applyAlignment="1">
      <alignment horizontal="center" vertical="center" textRotation="255" wrapText="1"/>
    </xf>
    <xf numFmtId="18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2" fillId="0" borderId="169" xfId="0" applyNumberFormat="1" applyFont="1" applyFill="1" applyBorder="1" applyAlignment="1">
      <alignment horizontal="center" vertical="center"/>
    </xf>
    <xf numFmtId="183" fontId="2" fillId="0" borderId="63" xfId="0" applyNumberFormat="1" applyFont="1" applyFill="1" applyBorder="1" applyAlignment="1">
      <alignment horizontal="center" vertical="center"/>
    </xf>
    <xf numFmtId="183" fontId="2" fillId="0" borderId="64" xfId="0" applyNumberFormat="1" applyFont="1" applyFill="1" applyBorder="1" applyAlignment="1">
      <alignment horizontal="center" vertical="center"/>
    </xf>
    <xf numFmtId="183" fontId="2" fillId="0" borderId="106" xfId="0" applyNumberFormat="1" applyFont="1" applyFill="1" applyBorder="1" applyAlignment="1">
      <alignment horizontal="center" vertical="center"/>
    </xf>
    <xf numFmtId="183" fontId="2" fillId="0" borderId="51" xfId="0" applyNumberFormat="1" applyFont="1" applyFill="1" applyBorder="1" applyAlignment="1">
      <alignment horizontal="center" vertical="center"/>
    </xf>
    <xf numFmtId="183" fontId="2" fillId="0" borderId="14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255" wrapText="1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1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0" fillId="38" borderId="124" xfId="0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85" fontId="8" fillId="0" borderId="29" xfId="0" applyNumberFormat="1" applyFont="1" applyBorder="1" applyAlignment="1">
      <alignment horizontal="center" vertical="center" wrapText="1"/>
    </xf>
    <xf numFmtId="0" fontId="65" fillId="0" borderId="170" xfId="0" applyFont="1" applyFill="1" applyBorder="1" applyAlignment="1">
      <alignment horizontal="center" vertical="center" wrapText="1"/>
    </xf>
    <xf numFmtId="0" fontId="65" fillId="0" borderId="171" xfId="0" applyFont="1" applyFill="1" applyBorder="1" applyAlignment="1">
      <alignment horizontal="center" vertical="center" wrapText="1"/>
    </xf>
    <xf numFmtId="0" fontId="65" fillId="0" borderId="172" xfId="0" applyFont="1" applyFill="1" applyBorder="1" applyAlignment="1">
      <alignment horizontal="center" vertical="center" wrapText="1"/>
    </xf>
    <xf numFmtId="1" fontId="6" fillId="36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9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139" xfId="0" applyFont="1" applyFill="1" applyBorder="1" applyAlignment="1">
      <alignment horizontal="left" vertical="center"/>
    </xf>
    <xf numFmtId="0" fontId="20" fillId="0" borderId="1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85" fontId="8" fillId="0" borderId="16" xfId="0" applyNumberFormat="1" applyFont="1" applyBorder="1" applyAlignment="1">
      <alignment horizontal="center" vertical="center" wrapText="1"/>
    </xf>
    <xf numFmtId="185" fontId="8" fillId="0" borderId="35" xfId="0" applyNumberFormat="1" applyFont="1" applyBorder="1" applyAlignment="1">
      <alignment horizontal="center" vertical="center" wrapText="1"/>
    </xf>
    <xf numFmtId="185" fontId="8" fillId="0" borderId="46" xfId="0" applyNumberFormat="1" applyFont="1" applyBorder="1" applyAlignment="1">
      <alignment horizontal="center" vertical="center" wrapText="1"/>
    </xf>
    <xf numFmtId="185" fontId="8" fillId="0" borderId="48" xfId="0" applyNumberFormat="1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64" fillId="0" borderId="171" xfId="0" applyFont="1" applyFill="1" applyBorder="1" applyAlignment="1">
      <alignment horizontal="center" vertical="center" wrapText="1"/>
    </xf>
    <xf numFmtId="0" fontId="64" fillId="0" borderId="17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36</xdr:row>
      <xdr:rowOff>171450</xdr:rowOff>
    </xdr:from>
    <xdr:to>
      <xdr:col>13</xdr:col>
      <xdr:colOff>38100</xdr:colOff>
      <xdr:row>43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7677150"/>
          <a:ext cx="3390900" cy="1133475"/>
        </a:xfrm>
        <a:prstGeom prst="rect">
          <a:avLst/>
        </a:prstGeom>
        <a:solidFill>
          <a:srgbClr val="FF99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採点表の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「業務情報」シート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「調査員比率」に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の値を入力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「各分野比率」に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の値を入力</a:t>
          </a:r>
        </a:p>
      </xdr:txBody>
    </xdr:sp>
    <xdr:clientData/>
  </xdr:twoCellAnchor>
  <xdr:twoCellAnchor>
    <xdr:from>
      <xdr:col>12</xdr:col>
      <xdr:colOff>390525</xdr:colOff>
      <xdr:row>28</xdr:row>
      <xdr:rowOff>238125</xdr:rowOff>
    </xdr:from>
    <xdr:to>
      <xdr:col>12</xdr:col>
      <xdr:colOff>400050</xdr:colOff>
      <xdr:row>36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0515600" y="5667375"/>
          <a:ext cx="9525" cy="2009775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57150</xdr:rowOff>
    </xdr:from>
    <xdr:to>
      <xdr:col>9</xdr:col>
      <xdr:colOff>276225</xdr:colOff>
      <xdr:row>40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3305175" y="8286750"/>
          <a:ext cx="4276725" cy="0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1104900</xdr:colOff>
      <xdr:row>15</xdr:row>
      <xdr:rowOff>66675</xdr:rowOff>
    </xdr:from>
    <xdr:to>
      <xdr:col>13</xdr:col>
      <xdr:colOff>180975</xdr:colOff>
      <xdr:row>28</xdr:row>
      <xdr:rowOff>257175</xdr:rowOff>
    </xdr:to>
    <xdr:sp>
      <xdr:nvSpPr>
        <xdr:cNvPr id="4" name="Oval 4"/>
        <xdr:cNvSpPr>
          <a:spLocks/>
        </xdr:cNvSpPr>
      </xdr:nvSpPr>
      <xdr:spPr>
        <a:xfrm>
          <a:off x="10029825" y="2781300"/>
          <a:ext cx="1085850" cy="2905125"/>
        </a:xfrm>
        <a:prstGeom prst="ellipse">
          <a:avLst/>
        </a:prstGeom>
        <a:noFill/>
        <a:ln w="57150" cmpd="sng">
          <a:solidFill>
            <a:srgbClr val="FF99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47625</xdr:rowOff>
    </xdr:from>
    <xdr:to>
      <xdr:col>11</xdr:col>
      <xdr:colOff>1085850</xdr:colOff>
      <xdr:row>24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8982075" y="3971925"/>
          <a:ext cx="1028700" cy="781050"/>
        </a:xfrm>
        <a:prstGeom prst="rightArrow">
          <a:avLst>
            <a:gd name="adj1" fmla="val 14814"/>
            <a:gd name="adj2" fmla="val -24388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17</xdr:row>
      <xdr:rowOff>9525</xdr:rowOff>
    </xdr:from>
    <xdr:to>
      <xdr:col>12</xdr:col>
      <xdr:colOff>19050</xdr:colOff>
      <xdr:row>27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915400" y="3028950"/>
          <a:ext cx="1228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Ｂ１，Ｂ２の両方、もしくはどちらかで合計が１になる場合はその配点比率を手入力する。
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ならない場合は、各分野の配点比率の合計が１になるように調整（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）する。</a:t>
          </a:r>
        </a:p>
      </xdr:txBody>
    </xdr:sp>
    <xdr:clientData/>
  </xdr:twoCellAnchor>
  <xdr:twoCellAnchor>
    <xdr:from>
      <xdr:col>11</xdr:col>
      <xdr:colOff>1181100</xdr:colOff>
      <xdr:row>28</xdr:row>
      <xdr:rowOff>647700</xdr:rowOff>
    </xdr:from>
    <xdr:to>
      <xdr:col>12</xdr:col>
      <xdr:colOff>314325</xdr:colOff>
      <xdr:row>37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106025" y="6076950"/>
          <a:ext cx="3333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各分野比率</a:t>
          </a:r>
        </a:p>
      </xdr:txBody>
    </xdr:sp>
    <xdr:clientData/>
  </xdr:twoCellAnchor>
  <xdr:twoCellAnchor>
    <xdr:from>
      <xdr:col>6</xdr:col>
      <xdr:colOff>390525</xdr:colOff>
      <xdr:row>38</xdr:row>
      <xdr:rowOff>95250</xdr:rowOff>
    </xdr:from>
    <xdr:to>
      <xdr:col>8</xdr:col>
      <xdr:colOff>314325</xdr:colOff>
      <xdr:row>40</xdr:row>
      <xdr:rowOff>47625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267325" y="7962900"/>
          <a:ext cx="1543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調査員比率</a:t>
          </a:r>
        </a:p>
      </xdr:txBody>
    </xdr:sp>
    <xdr:clientData/>
  </xdr:twoCellAnchor>
  <xdr:twoCellAnchor>
    <xdr:from>
      <xdr:col>6</xdr:col>
      <xdr:colOff>133350</xdr:colOff>
      <xdr:row>38</xdr:row>
      <xdr:rowOff>142875</xdr:rowOff>
    </xdr:from>
    <xdr:to>
      <xdr:col>6</xdr:col>
      <xdr:colOff>428625</xdr:colOff>
      <xdr:row>40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10150" y="80105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12</xdr:col>
      <xdr:colOff>57150</xdr:colOff>
      <xdr:row>28</xdr:row>
      <xdr:rowOff>428625</xdr:rowOff>
    </xdr:from>
    <xdr:to>
      <xdr:col>12</xdr:col>
      <xdr:colOff>352425</xdr:colOff>
      <xdr:row>28</xdr:row>
      <xdr:rowOff>704850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182225" y="58578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171450</xdr:colOff>
      <xdr:row>28</xdr:row>
      <xdr:rowOff>38100</xdr:rowOff>
    </xdr:from>
    <xdr:to>
      <xdr:col>10</xdr:col>
      <xdr:colOff>676275</xdr:colOff>
      <xdr:row>29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57875" y="5467350"/>
          <a:ext cx="29337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で、合計値がどちらも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にならない場合は、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との差（絶対値）が一番大きい分野で調整する。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差が同一の分野が存在する場合は、上位の分野の比率が大きくなるように調整する。</a:t>
          </a:r>
        </a:p>
      </xdr:txBody>
    </xdr:sp>
    <xdr:clientData/>
  </xdr:twoCellAnchor>
  <xdr:twoCellAnchor>
    <xdr:from>
      <xdr:col>2</xdr:col>
      <xdr:colOff>57150</xdr:colOff>
      <xdr:row>37</xdr:row>
      <xdr:rowOff>19050</xdr:rowOff>
    </xdr:from>
    <xdr:to>
      <xdr:col>2</xdr:col>
      <xdr:colOff>695325</xdr:colOff>
      <xdr:row>39</xdr:row>
      <xdr:rowOff>133350</xdr:rowOff>
    </xdr:to>
    <xdr:sp>
      <xdr:nvSpPr>
        <xdr:cNvPr id="12" name="AutoShape 12"/>
        <xdr:cNvSpPr>
          <a:spLocks/>
        </xdr:cNvSpPr>
      </xdr:nvSpPr>
      <xdr:spPr>
        <a:xfrm rot="5400000">
          <a:off x="1514475" y="7705725"/>
          <a:ext cx="638175" cy="476250"/>
        </a:xfrm>
        <a:prstGeom prst="rightArrow">
          <a:avLst>
            <a:gd name="adj1" fmla="val 14000"/>
            <a:gd name="adj2" fmla="val -26120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104775</xdr:rowOff>
    </xdr:from>
    <xdr:to>
      <xdr:col>10</xdr:col>
      <xdr:colOff>9525</xdr:colOff>
      <xdr:row>27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6496050" y="5353050"/>
          <a:ext cx="1628775" cy="0"/>
        </a:xfrm>
        <a:prstGeom prst="line">
          <a:avLst/>
        </a:prstGeom>
        <a:noFill/>
        <a:ln w="38100" cmpd="sng">
          <a:solidFill>
            <a:srgbClr val="333333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38</xdr:row>
      <xdr:rowOff>38100</xdr:rowOff>
    </xdr:from>
    <xdr:to>
      <xdr:col>4</xdr:col>
      <xdr:colOff>266700</xdr:colOff>
      <xdr:row>43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447675" y="7905750"/>
          <a:ext cx="2895600" cy="809625"/>
        </a:xfrm>
        <a:prstGeom prst="ellipse">
          <a:avLst/>
        </a:prstGeom>
        <a:noFill/>
        <a:ln w="57150" cmpd="sng">
          <a:solidFill>
            <a:srgbClr val="FF99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57150</xdr:rowOff>
    </xdr:from>
    <xdr:to>
      <xdr:col>5</xdr:col>
      <xdr:colOff>733425</xdr:colOff>
      <xdr:row>43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66950" y="8534400"/>
          <a:ext cx="2533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「変化させるセル」（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M59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）の値を、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単位で切り捨てた値が「その他調査員」の配点比率となる。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33</xdr:row>
      <xdr:rowOff>171450</xdr:rowOff>
    </xdr:from>
    <xdr:to>
      <xdr:col>11</xdr:col>
      <xdr:colOff>38100</xdr:colOff>
      <xdr:row>40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7010400"/>
          <a:ext cx="4010025" cy="1133475"/>
        </a:xfrm>
        <a:prstGeom prst="rect">
          <a:avLst/>
        </a:prstGeom>
        <a:solidFill>
          <a:srgbClr val="FF99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採点表の「業務情報」シート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「調査員比率」に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の値を入力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「各分野比率」に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の値を入力</a:t>
          </a:r>
        </a:p>
      </xdr:txBody>
    </xdr:sp>
    <xdr:clientData/>
  </xdr:twoCellAnchor>
  <xdr:twoCellAnchor>
    <xdr:from>
      <xdr:col>10</xdr:col>
      <xdr:colOff>390525</xdr:colOff>
      <xdr:row>25</xdr:row>
      <xdr:rowOff>238125</xdr:rowOff>
    </xdr:from>
    <xdr:to>
      <xdr:col>10</xdr:col>
      <xdr:colOff>400050</xdr:colOff>
      <xdr:row>33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9334500" y="5000625"/>
          <a:ext cx="9525" cy="2009775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37</xdr:row>
      <xdr:rowOff>57150</xdr:rowOff>
    </xdr:from>
    <xdr:to>
      <xdr:col>7</xdr:col>
      <xdr:colOff>276225</xdr:colOff>
      <xdr:row>37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3343275" y="7620000"/>
          <a:ext cx="2438400" cy="0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1695450</xdr:colOff>
      <xdr:row>15</xdr:row>
      <xdr:rowOff>66675</xdr:rowOff>
    </xdr:from>
    <xdr:to>
      <xdr:col>11</xdr:col>
      <xdr:colOff>180975</xdr:colOff>
      <xdr:row>25</xdr:row>
      <xdr:rowOff>257175</xdr:rowOff>
    </xdr:to>
    <xdr:sp>
      <xdr:nvSpPr>
        <xdr:cNvPr id="4" name="Oval 4"/>
        <xdr:cNvSpPr>
          <a:spLocks/>
        </xdr:cNvSpPr>
      </xdr:nvSpPr>
      <xdr:spPr>
        <a:xfrm>
          <a:off x="8820150" y="2781300"/>
          <a:ext cx="1114425" cy="2238375"/>
        </a:xfrm>
        <a:prstGeom prst="ellipse">
          <a:avLst/>
        </a:prstGeom>
        <a:noFill/>
        <a:ln w="57150" cmpd="sng">
          <a:solidFill>
            <a:srgbClr val="FF99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47625</xdr:rowOff>
    </xdr:from>
    <xdr:to>
      <xdr:col>9</xdr:col>
      <xdr:colOff>1647825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181850" y="3962400"/>
          <a:ext cx="1590675" cy="390525"/>
        </a:xfrm>
        <a:prstGeom prst="rightArrow">
          <a:avLst>
            <a:gd name="adj1" fmla="val 23055"/>
            <a:gd name="adj2" fmla="val -23171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9525</xdr:rowOff>
    </xdr:from>
    <xdr:to>
      <xdr:col>9</xdr:col>
      <xdr:colOff>1800225</xdr:colOff>
      <xdr:row>24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43750" y="3028950"/>
          <a:ext cx="17811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Ｂ１，Ｂ２の両方、もしくはどちらかで合計が１になる場合はその配点比率を手入力する。
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ならない場合は、各分野の配点比率の合計が１になるように調整（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）する。</a:t>
          </a:r>
        </a:p>
      </xdr:txBody>
    </xdr:sp>
    <xdr:clientData/>
  </xdr:twoCellAnchor>
  <xdr:twoCellAnchor>
    <xdr:from>
      <xdr:col>9</xdr:col>
      <xdr:colOff>1181100</xdr:colOff>
      <xdr:row>25</xdr:row>
      <xdr:rowOff>647700</xdr:rowOff>
    </xdr:from>
    <xdr:to>
      <xdr:col>10</xdr:col>
      <xdr:colOff>314325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305800" y="5410200"/>
          <a:ext cx="9525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各分野比率</a:t>
          </a:r>
        </a:p>
      </xdr:txBody>
    </xdr:sp>
    <xdr:clientData/>
  </xdr:twoCellAnchor>
  <xdr:twoCellAnchor>
    <xdr:from>
      <xdr:col>5</xdr:col>
      <xdr:colOff>0</xdr:colOff>
      <xdr:row>35</xdr:row>
      <xdr:rowOff>47625</xdr:rowOff>
    </xdr:from>
    <xdr:to>
      <xdr:col>6</xdr:col>
      <xdr:colOff>733425</xdr:colOff>
      <xdr:row>37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86200" y="7248525"/>
          <a:ext cx="1543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調査員比率</a:t>
          </a:r>
        </a:p>
      </xdr:txBody>
    </xdr:sp>
    <xdr:clientData/>
  </xdr:twoCellAnchor>
  <xdr:twoCellAnchor>
    <xdr:from>
      <xdr:col>4</xdr:col>
      <xdr:colOff>542925</xdr:colOff>
      <xdr:row>35</xdr:row>
      <xdr:rowOff>114300</xdr:rowOff>
    </xdr:from>
    <xdr:to>
      <xdr:col>5</xdr:col>
      <xdr:colOff>28575</xdr:colOff>
      <xdr:row>37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619500" y="7315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10</xdr:col>
      <xdr:colOff>57150</xdr:colOff>
      <xdr:row>25</xdr:row>
      <xdr:rowOff>428625</xdr:rowOff>
    </xdr:from>
    <xdr:to>
      <xdr:col>10</xdr:col>
      <xdr:colOff>352425</xdr:colOff>
      <xdr:row>25</xdr:row>
      <xdr:rowOff>704850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001125" y="519112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</xdr:col>
      <xdr:colOff>171450</xdr:colOff>
      <xdr:row>25</xdr:row>
      <xdr:rowOff>38100</xdr:rowOff>
    </xdr:from>
    <xdr:to>
      <xdr:col>8</xdr:col>
      <xdr:colOff>676275</xdr:colOff>
      <xdr:row>26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57650" y="4800600"/>
          <a:ext cx="29337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で、合計値がどちらも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にならない場合は、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との差（絶対値）が一番大きい分野で調整する。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差が同一の分野が存在する場合は、上位の分野の比率が大きくなるように調整する。</a:t>
          </a:r>
        </a:p>
      </xdr:txBody>
    </xdr:sp>
    <xdr:clientData/>
  </xdr:twoCellAnchor>
  <xdr:twoCellAnchor>
    <xdr:from>
      <xdr:col>2</xdr:col>
      <xdr:colOff>57150</xdr:colOff>
      <xdr:row>34</xdr:row>
      <xdr:rowOff>19050</xdr:rowOff>
    </xdr:from>
    <xdr:to>
      <xdr:col>2</xdr:col>
      <xdr:colOff>695325</xdr:colOff>
      <xdr:row>36</xdr:row>
      <xdr:rowOff>133350</xdr:rowOff>
    </xdr:to>
    <xdr:sp>
      <xdr:nvSpPr>
        <xdr:cNvPr id="12" name="AutoShape 12"/>
        <xdr:cNvSpPr>
          <a:spLocks/>
        </xdr:cNvSpPr>
      </xdr:nvSpPr>
      <xdr:spPr>
        <a:xfrm rot="5400000">
          <a:off x="1514475" y="7038975"/>
          <a:ext cx="638175" cy="476250"/>
        </a:xfrm>
        <a:prstGeom prst="rightArrow">
          <a:avLst>
            <a:gd name="adj1" fmla="val 14000"/>
            <a:gd name="adj2" fmla="val -26120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104775</xdr:rowOff>
    </xdr:from>
    <xdr:to>
      <xdr:col>8</xdr:col>
      <xdr:colOff>9525</xdr:colOff>
      <xdr:row>24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695825" y="4686300"/>
          <a:ext cx="1628775" cy="0"/>
        </a:xfrm>
        <a:prstGeom prst="line">
          <a:avLst/>
        </a:prstGeom>
        <a:noFill/>
        <a:ln w="38100" cmpd="sng">
          <a:solidFill>
            <a:srgbClr val="333333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35</xdr:row>
      <xdr:rowOff>38100</xdr:rowOff>
    </xdr:from>
    <xdr:to>
      <xdr:col>4</xdr:col>
      <xdr:colOff>257175</xdr:colOff>
      <xdr:row>40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447675" y="7239000"/>
          <a:ext cx="2886075" cy="809625"/>
        </a:xfrm>
        <a:prstGeom prst="ellipse">
          <a:avLst/>
        </a:prstGeom>
        <a:noFill/>
        <a:ln w="57150" cmpd="sng">
          <a:solidFill>
            <a:srgbClr val="FF99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57150</xdr:rowOff>
    </xdr:from>
    <xdr:to>
      <xdr:col>4</xdr:col>
      <xdr:colOff>733425</xdr:colOff>
      <xdr:row>40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66950" y="7867650"/>
          <a:ext cx="1543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「変化させるセル」（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）の値を、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単位で切り捨てた値が「その他調査員」の配点比率となる。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3"/>
  <sheetViews>
    <sheetView tabSelected="1" view="pageBreakPreview" zoomScaleSheetLayoutView="100" zoomScalePageLayoutView="0" workbookViewId="0" topLeftCell="A7">
      <selection activeCell="E21" sqref="E21:E23"/>
    </sheetView>
  </sheetViews>
  <sheetFormatPr defaultColWidth="9.00390625" defaultRowHeight="13.5"/>
  <cols>
    <col min="1" max="1" width="9.50390625" style="0" customWidth="1"/>
    <col min="2" max="2" width="9.625" style="0" customWidth="1"/>
    <col min="3" max="4" width="10.625" style="0" customWidth="1"/>
    <col min="5" max="5" width="13.00390625" style="0" customWidth="1"/>
    <col min="6" max="11" width="10.625" style="0" customWidth="1"/>
    <col min="12" max="12" width="15.75390625" style="0" customWidth="1"/>
    <col min="13" max="13" width="10.625" style="0" customWidth="1"/>
    <col min="14" max="14" width="5.50390625" style="1" customWidth="1"/>
    <col min="15" max="15" width="9.00390625" style="18" customWidth="1"/>
    <col min="16" max="16" width="9.125" style="18" bestFit="1" customWidth="1"/>
    <col min="17" max="23" width="9.00390625" style="18" customWidth="1"/>
    <col min="24" max="25" width="5.375" style="18" customWidth="1"/>
    <col min="26" max="35" width="5.625" style="18" customWidth="1"/>
  </cols>
  <sheetData>
    <row r="1" spans="15:35" ht="14.25" customHeight="1">
      <c r="O1" s="2"/>
      <c r="P1" s="2"/>
      <c r="Q1" s="2"/>
      <c r="R1" s="3"/>
      <c r="S1" s="4"/>
      <c r="T1" s="3"/>
      <c r="U1" s="3"/>
      <c r="V1" s="3"/>
      <c r="W1" s="5"/>
      <c r="X1" s="5"/>
      <c r="Y1" s="5"/>
      <c r="Z1" s="409"/>
      <c r="AA1" s="409"/>
      <c r="AB1" s="409"/>
      <c r="AC1" s="409"/>
      <c r="AD1" s="409"/>
      <c r="AE1" s="409"/>
      <c r="AF1" s="409"/>
      <c r="AG1" s="409"/>
      <c r="AH1" s="5"/>
      <c r="AI1" s="5"/>
    </row>
    <row r="2" spans="1:35" s="7" customFormat="1" ht="14.25" customHeight="1">
      <c r="A2" s="6" t="s">
        <v>0</v>
      </c>
      <c r="N2" s="8"/>
      <c r="O2" s="9"/>
      <c r="P2" s="9"/>
      <c r="Q2" s="9"/>
      <c r="R2" s="410"/>
      <c r="S2" s="10"/>
      <c r="T2" s="11"/>
      <c r="U2" s="12"/>
      <c r="V2" s="12"/>
      <c r="W2" s="411"/>
      <c r="X2" s="13"/>
      <c r="Y2" s="13"/>
      <c r="Z2" s="412"/>
      <c r="AA2" s="412"/>
      <c r="AB2" s="412"/>
      <c r="AC2" s="412"/>
      <c r="AD2" s="412"/>
      <c r="AE2" s="412"/>
      <c r="AF2" s="412"/>
      <c r="AG2" s="412"/>
      <c r="AH2" s="13"/>
      <c r="AI2" s="13"/>
    </row>
    <row r="3" spans="1:35" s="7" customFormat="1" ht="14.25" customHeight="1">
      <c r="A3" s="7" t="s">
        <v>1</v>
      </c>
      <c r="N3" s="8"/>
      <c r="O3" s="9"/>
      <c r="P3" s="9"/>
      <c r="Q3" s="9"/>
      <c r="R3" s="410"/>
      <c r="S3" s="10"/>
      <c r="T3" s="11"/>
      <c r="U3" s="12"/>
      <c r="V3" s="12"/>
      <c r="W3" s="411"/>
      <c r="X3" s="13"/>
      <c r="Y3" s="13"/>
      <c r="Z3" s="412"/>
      <c r="AA3" s="412"/>
      <c r="AB3" s="412"/>
      <c r="AC3" s="412"/>
      <c r="AD3" s="412"/>
      <c r="AE3" s="412"/>
      <c r="AF3" s="412"/>
      <c r="AG3" s="412"/>
      <c r="AH3" s="13"/>
      <c r="AI3" s="13"/>
    </row>
    <row r="4" spans="2:35" s="7" customFormat="1" ht="14.25" customHeight="1">
      <c r="B4" s="7" t="s">
        <v>119</v>
      </c>
      <c r="N4" s="8"/>
      <c r="O4" s="9"/>
      <c r="P4" s="9"/>
      <c r="Q4" s="9"/>
      <c r="R4" s="14"/>
      <c r="S4" s="14"/>
      <c r="T4" s="14"/>
      <c r="U4" s="14"/>
      <c r="V4" s="14"/>
      <c r="W4" s="15"/>
      <c r="X4" s="14"/>
      <c r="Y4" s="16"/>
      <c r="Z4" s="434"/>
      <c r="AA4" s="434"/>
      <c r="AB4" s="434"/>
      <c r="AC4" s="434"/>
      <c r="AD4" s="434"/>
      <c r="AE4" s="434"/>
      <c r="AF4" s="434"/>
      <c r="AG4" s="434"/>
      <c r="AH4" s="17"/>
      <c r="AI4" s="17"/>
    </row>
    <row r="5" spans="2:14" s="7" customFormat="1" ht="14.25" customHeight="1">
      <c r="B5" s="7" t="s">
        <v>2</v>
      </c>
      <c r="N5" s="8"/>
    </row>
    <row r="6" spans="2:14" s="7" customFormat="1" ht="14.25" customHeight="1">
      <c r="B6" s="7" t="s">
        <v>3</v>
      </c>
      <c r="N6" s="8"/>
    </row>
    <row r="7" ht="14.25" customHeight="1"/>
    <row r="8" spans="1:8" ht="21.75" customHeight="1">
      <c r="A8" s="19" t="s">
        <v>208</v>
      </c>
      <c r="G8" s="20" t="s">
        <v>120</v>
      </c>
      <c r="H8" s="20"/>
    </row>
    <row r="9" spans="26:27" ht="11.25" customHeight="1">
      <c r="Z9" s="21"/>
      <c r="AA9" s="22"/>
    </row>
    <row r="10" spans="1:5" ht="15" customHeight="1">
      <c r="A10" s="23" t="s">
        <v>121</v>
      </c>
      <c r="B10" s="24" t="s">
        <v>4</v>
      </c>
      <c r="C10" s="25" t="s">
        <v>5</v>
      </c>
      <c r="D10" s="25"/>
      <c r="E10" s="25"/>
    </row>
    <row r="11" spans="1:5" ht="6" customHeight="1">
      <c r="A11" s="23"/>
      <c r="B11" s="26"/>
      <c r="C11" s="25"/>
      <c r="D11" s="25"/>
      <c r="E11" s="25"/>
    </row>
    <row r="12" spans="1:11" ht="15" customHeight="1">
      <c r="A12" t="s">
        <v>6</v>
      </c>
      <c r="C12" s="27" t="s">
        <v>7</v>
      </c>
      <c r="D12" s="27"/>
      <c r="H12" t="s">
        <v>8</v>
      </c>
      <c r="J12" s="28">
        <v>1</v>
      </c>
      <c r="K12" s="20" t="s">
        <v>9</v>
      </c>
    </row>
    <row r="13" spans="3:11" ht="15" customHeight="1">
      <c r="C13" s="28">
        <v>0.6</v>
      </c>
      <c r="D13" s="29">
        <f>1-C13</f>
        <v>0.4</v>
      </c>
      <c r="E13" s="20" t="s">
        <v>10</v>
      </c>
      <c r="J13" s="30"/>
      <c r="K13" s="20"/>
    </row>
    <row r="14" spans="3:10" ht="15" customHeight="1">
      <c r="C14" s="27" t="s">
        <v>11</v>
      </c>
      <c r="D14" s="27"/>
      <c r="J14" s="31"/>
    </row>
    <row r="15" spans="3:10" ht="15" customHeight="1">
      <c r="C15" s="28">
        <v>1</v>
      </c>
      <c r="D15" s="28">
        <v>1</v>
      </c>
      <c r="J15" s="31"/>
    </row>
    <row r="16" ht="10.5" customHeight="1"/>
    <row r="17" spans="1:15" ht="13.5">
      <c r="A17" t="s">
        <v>12</v>
      </c>
      <c r="C17" s="365" t="s">
        <v>13</v>
      </c>
      <c r="D17" s="436" t="s">
        <v>14</v>
      </c>
      <c r="E17" s="438"/>
      <c r="F17" s="435" t="s">
        <v>15</v>
      </c>
      <c r="G17" s="436"/>
      <c r="H17" s="436"/>
      <c r="I17" s="436"/>
      <c r="J17" s="436"/>
      <c r="K17" s="436"/>
      <c r="L17" s="437"/>
      <c r="M17" s="438"/>
      <c r="N17" s="32"/>
      <c r="O17" s="2"/>
    </row>
    <row r="18" spans="3:15" ht="15" customHeight="1">
      <c r="C18" s="366"/>
      <c r="D18" s="444"/>
      <c r="E18" s="445"/>
      <c r="F18" s="441" t="s">
        <v>16</v>
      </c>
      <c r="G18" s="440" t="s">
        <v>17</v>
      </c>
      <c r="H18" s="428" t="s">
        <v>18</v>
      </c>
      <c r="I18" s="429"/>
      <c r="J18" s="430" t="s">
        <v>19</v>
      </c>
      <c r="K18" s="429"/>
      <c r="L18" s="33"/>
      <c r="M18" s="439" t="s">
        <v>20</v>
      </c>
      <c r="N18" s="34"/>
      <c r="O18" s="2"/>
    </row>
    <row r="19" spans="3:15" ht="15.75" customHeight="1">
      <c r="C19" s="366"/>
      <c r="D19" s="444"/>
      <c r="E19" s="445"/>
      <c r="F19" s="442"/>
      <c r="G19" s="440"/>
      <c r="H19" s="428"/>
      <c r="I19" s="429"/>
      <c r="J19" s="428"/>
      <c r="K19" s="429"/>
      <c r="L19" s="35"/>
      <c r="M19" s="439"/>
      <c r="N19" s="34"/>
      <c r="O19" s="2"/>
    </row>
    <row r="20" spans="3:15" ht="22.5" customHeight="1" thickBot="1">
      <c r="C20" s="36" t="s">
        <v>21</v>
      </c>
      <c r="D20" s="37" t="s">
        <v>22</v>
      </c>
      <c r="E20" s="38" t="s">
        <v>23</v>
      </c>
      <c r="F20" s="443"/>
      <c r="G20" s="39" t="s">
        <v>122</v>
      </c>
      <c r="H20" s="40" t="s">
        <v>123</v>
      </c>
      <c r="I20" s="41" t="s">
        <v>24</v>
      </c>
      <c r="J20" s="42" t="s">
        <v>25</v>
      </c>
      <c r="K20" s="43" t="s">
        <v>124</v>
      </c>
      <c r="L20" s="44"/>
      <c r="M20" s="45" t="s">
        <v>26</v>
      </c>
      <c r="N20" s="34"/>
      <c r="O20" s="2"/>
    </row>
    <row r="21" spans="1:15" ht="18" thickTop="1">
      <c r="A21" s="356"/>
      <c r="B21" s="357" t="s">
        <v>211</v>
      </c>
      <c r="C21" s="46">
        <v>1</v>
      </c>
      <c r="D21" s="47">
        <v>7</v>
      </c>
      <c r="E21" s="431" t="s">
        <v>215</v>
      </c>
      <c r="F21" s="48">
        <f>$C$13*D21/SUM($D$21:$D$23)</f>
        <v>0.42000000000000004</v>
      </c>
      <c r="G21" s="49">
        <f aca="true" t="shared" si="0" ref="G21:G27">(IF(C21=0,0,F21/(1-SUMIF($C$21:$C$27,0,$F$21:$F$27))))</f>
        <v>0.42000000000000004</v>
      </c>
      <c r="H21" s="50">
        <f>MROUND(ROUNDDOWN($G21,3),0.005)</f>
        <v>0.42</v>
      </c>
      <c r="I21" s="51">
        <f aca="true" t="shared" si="1" ref="I21:I27">H21-G21</f>
        <v>0</v>
      </c>
      <c r="J21" s="52">
        <f aca="true" t="shared" si="2" ref="J21:J27">K21-G21</f>
        <v>0</v>
      </c>
      <c r="K21" s="50">
        <f aca="true" t="shared" si="3" ref="K21:K27">MROUND(G21,0.005)</f>
        <v>0.42</v>
      </c>
      <c r="L21" s="53"/>
      <c r="M21" s="54">
        <v>0.42</v>
      </c>
      <c r="N21" s="55"/>
      <c r="O21" s="2"/>
    </row>
    <row r="22" spans="1:15" ht="17.25">
      <c r="A22" s="358" t="s">
        <v>27</v>
      </c>
      <c r="B22" s="359" t="s">
        <v>174</v>
      </c>
      <c r="C22" s="56">
        <v>1</v>
      </c>
      <c r="D22" s="57">
        <v>2</v>
      </c>
      <c r="E22" s="432"/>
      <c r="F22" s="58">
        <f>$C$13*D22/SUM($D$21:$D$23)</f>
        <v>0.12</v>
      </c>
      <c r="G22" s="59">
        <f t="shared" si="0"/>
        <v>0.12</v>
      </c>
      <c r="H22" s="60">
        <f aca="true" t="shared" si="4" ref="H22:H27">MROUND(ROUNDDOWN(G22,3),0.005)</f>
        <v>0.12</v>
      </c>
      <c r="I22" s="61">
        <f t="shared" si="1"/>
        <v>0</v>
      </c>
      <c r="J22" s="62">
        <f t="shared" si="2"/>
        <v>0</v>
      </c>
      <c r="K22" s="60">
        <f t="shared" si="3"/>
        <v>0.12</v>
      </c>
      <c r="L22" s="53"/>
      <c r="M22" s="63">
        <v>0.12</v>
      </c>
      <c r="N22" s="55"/>
      <c r="O22" s="2"/>
    </row>
    <row r="23" spans="1:15" ht="17.25">
      <c r="A23" s="360"/>
      <c r="B23" s="361" t="s">
        <v>28</v>
      </c>
      <c r="C23" s="64">
        <v>1</v>
      </c>
      <c r="D23" s="65">
        <v>1</v>
      </c>
      <c r="E23" s="433"/>
      <c r="F23" s="66">
        <f>$C$13*D23/SUM($D$21:$D$23)</f>
        <v>0.06</v>
      </c>
      <c r="G23" s="67">
        <f t="shared" si="0"/>
        <v>0.06</v>
      </c>
      <c r="H23" s="68">
        <f t="shared" si="4"/>
        <v>0.06</v>
      </c>
      <c r="I23" s="69">
        <f t="shared" si="1"/>
        <v>0</v>
      </c>
      <c r="J23" s="70">
        <f t="shared" si="2"/>
        <v>0</v>
      </c>
      <c r="K23" s="68">
        <f t="shared" si="3"/>
        <v>0.06</v>
      </c>
      <c r="L23" s="53"/>
      <c r="M23" s="71">
        <v>0.06</v>
      </c>
      <c r="N23" s="55"/>
      <c r="O23" s="2"/>
    </row>
    <row r="24" spans="1:15" ht="17.25">
      <c r="A24" s="378" t="s">
        <v>212</v>
      </c>
      <c r="B24" s="357" t="s">
        <v>212</v>
      </c>
      <c r="C24" s="46">
        <v>1</v>
      </c>
      <c r="D24" s="47">
        <v>9</v>
      </c>
      <c r="E24" s="431" t="s">
        <v>216</v>
      </c>
      <c r="F24" s="48">
        <f>$D$13*C15/SUM($C$15:$D$15)*D24/SUM($D$24:$D$25)</f>
        <v>0.18</v>
      </c>
      <c r="G24" s="49">
        <f t="shared" si="0"/>
        <v>0.18</v>
      </c>
      <c r="H24" s="72">
        <f t="shared" si="4"/>
        <v>0.18</v>
      </c>
      <c r="I24" s="51">
        <f t="shared" si="1"/>
        <v>0</v>
      </c>
      <c r="J24" s="52">
        <f t="shared" si="2"/>
        <v>0</v>
      </c>
      <c r="K24" s="72">
        <f t="shared" si="3"/>
        <v>0.18</v>
      </c>
      <c r="L24" s="53"/>
      <c r="M24" s="73">
        <v>0.18</v>
      </c>
      <c r="N24" s="55"/>
      <c r="O24" s="2"/>
    </row>
    <row r="25" spans="1:15" ht="17.25">
      <c r="A25" s="379"/>
      <c r="B25" s="362" t="s">
        <v>28</v>
      </c>
      <c r="C25" s="74">
        <v>1</v>
      </c>
      <c r="D25" s="75">
        <v>1</v>
      </c>
      <c r="E25" s="432"/>
      <c r="F25" s="77">
        <f>$D$13*C15/SUM($C$15:$D$15)*D25/SUM($D$24:$D$25)</f>
        <v>0.02</v>
      </c>
      <c r="G25" s="78">
        <f t="shared" si="0"/>
        <v>0.02</v>
      </c>
      <c r="H25" s="79">
        <f t="shared" si="4"/>
        <v>0.02</v>
      </c>
      <c r="I25" s="80">
        <f t="shared" si="1"/>
        <v>0</v>
      </c>
      <c r="J25" s="81">
        <f t="shared" si="2"/>
        <v>0</v>
      </c>
      <c r="K25" s="79">
        <f t="shared" si="3"/>
        <v>0.02</v>
      </c>
      <c r="L25" s="53"/>
      <c r="M25" s="82">
        <v>0.02</v>
      </c>
      <c r="N25" s="55"/>
      <c r="O25" s="2"/>
    </row>
    <row r="26" spans="1:36" ht="17.25">
      <c r="A26" s="378" t="s">
        <v>213</v>
      </c>
      <c r="B26" s="363" t="s">
        <v>213</v>
      </c>
      <c r="C26" s="83">
        <v>1</v>
      </c>
      <c r="D26" s="84">
        <v>9</v>
      </c>
      <c r="E26" s="471"/>
      <c r="F26" s="85">
        <f>$D$13*$D$15/SUM($C$15:$D$15)*D26/SUM($D$26:$D$27)</f>
        <v>0.18</v>
      </c>
      <c r="G26" s="86">
        <f t="shared" si="0"/>
        <v>0.18</v>
      </c>
      <c r="H26" s="87">
        <f t="shared" si="4"/>
        <v>0.18</v>
      </c>
      <c r="I26" s="88">
        <f t="shared" si="1"/>
        <v>0</v>
      </c>
      <c r="J26" s="89">
        <f t="shared" si="2"/>
        <v>0</v>
      </c>
      <c r="K26" s="87">
        <f t="shared" si="3"/>
        <v>0.18</v>
      </c>
      <c r="L26" s="53"/>
      <c r="M26" s="90">
        <v>0.18</v>
      </c>
      <c r="N26" s="55"/>
      <c r="O26" s="2"/>
      <c r="AJ26" s="383"/>
    </row>
    <row r="27" spans="1:36" ht="18" thickBot="1">
      <c r="A27" s="379"/>
      <c r="B27" s="362" t="s">
        <v>28</v>
      </c>
      <c r="C27" s="74">
        <v>1</v>
      </c>
      <c r="D27" s="75">
        <v>1</v>
      </c>
      <c r="E27" s="472"/>
      <c r="F27" s="77">
        <f>$D$13*$D$15/SUM($C$15:$D$15)*D27/SUM($D$26:$D$27)</f>
        <v>0.02</v>
      </c>
      <c r="G27" s="78">
        <f t="shared" si="0"/>
        <v>0.02</v>
      </c>
      <c r="H27" s="91">
        <f t="shared" si="4"/>
        <v>0.02</v>
      </c>
      <c r="I27" s="80">
        <f t="shared" si="1"/>
        <v>0</v>
      </c>
      <c r="J27" s="81">
        <f t="shared" si="2"/>
        <v>0</v>
      </c>
      <c r="K27" s="91">
        <f t="shared" si="3"/>
        <v>0.02</v>
      </c>
      <c r="L27" s="92"/>
      <c r="M27" s="93">
        <v>0.02</v>
      </c>
      <c r="N27" s="55"/>
      <c r="O27" s="2"/>
      <c r="AJ27" s="383"/>
    </row>
    <row r="28" spans="5:15" s="18" customFormat="1" ht="14.25" customHeight="1">
      <c r="E28" s="94" t="s">
        <v>31</v>
      </c>
      <c r="F28" s="95">
        <f>SUM(F21:F27)</f>
        <v>1</v>
      </c>
      <c r="G28" s="95">
        <f>SUM(G21:G27)</f>
        <v>1</v>
      </c>
      <c r="H28" s="96">
        <f>SUM(H21:H27)</f>
        <v>1</v>
      </c>
      <c r="I28" s="95"/>
      <c r="J28" s="95"/>
      <c r="K28" s="96">
        <f>SUM(K21:K27)</f>
        <v>1</v>
      </c>
      <c r="L28" s="97"/>
      <c r="M28" s="98">
        <f>SUM(M21:M27)</f>
        <v>1</v>
      </c>
      <c r="N28" s="97"/>
      <c r="O28" s="2"/>
    </row>
    <row r="29" spans="6:15" ht="56.25" customHeight="1">
      <c r="F29" s="99"/>
      <c r="M29" s="100"/>
      <c r="N29" s="101"/>
      <c r="O29" s="2"/>
    </row>
    <row r="30" ht="7.5" customHeight="1">
      <c r="O30" s="2"/>
    </row>
    <row r="31" spans="1:15" ht="14.25" customHeight="1">
      <c r="A31" s="23" t="s">
        <v>125</v>
      </c>
      <c r="B31" s="102" t="s">
        <v>32</v>
      </c>
      <c r="C31" s="103"/>
      <c r="D31" s="103"/>
      <c r="E31" s="103"/>
      <c r="F31" s="103"/>
      <c r="G31" s="103"/>
      <c r="H31" s="103"/>
      <c r="I31" s="103"/>
      <c r="J31" s="104"/>
      <c r="K31" s="103"/>
      <c r="L31" s="103"/>
      <c r="M31" s="103"/>
      <c r="N31" s="105"/>
      <c r="O31" s="2"/>
    </row>
    <row r="32" spans="2:15" ht="28.5" customHeight="1">
      <c r="B32" s="106" t="s">
        <v>126</v>
      </c>
      <c r="C32" s="427" t="s">
        <v>214</v>
      </c>
      <c r="D32" s="427"/>
      <c r="E32" s="427"/>
      <c r="F32" s="427"/>
      <c r="G32" s="427"/>
      <c r="H32" s="427"/>
      <c r="I32" s="427"/>
      <c r="J32" s="427"/>
      <c r="O32" s="2"/>
    </row>
    <row r="33" spans="2:15" ht="14.25" customHeight="1">
      <c r="B33" s="106" t="s">
        <v>127</v>
      </c>
      <c r="C33" t="s">
        <v>33</v>
      </c>
      <c r="O33" s="2"/>
    </row>
    <row r="34" spans="2:15" ht="14.25" customHeight="1">
      <c r="B34" s="108"/>
      <c r="D34" s="109" t="s">
        <v>34</v>
      </c>
      <c r="E34" s="110"/>
      <c r="F34" s="111" t="s">
        <v>128</v>
      </c>
      <c r="G34" s="20" t="s">
        <v>35</v>
      </c>
      <c r="O34" s="2"/>
    </row>
    <row r="35" spans="2:15" ht="14.25" customHeight="1">
      <c r="B35" s="108"/>
      <c r="D35" s="109" t="s">
        <v>36</v>
      </c>
      <c r="E35" s="110"/>
      <c r="F35" s="111">
        <v>0</v>
      </c>
      <c r="G35" s="20" t="s">
        <v>37</v>
      </c>
      <c r="O35" s="2"/>
    </row>
    <row r="36" spans="4:15" ht="14.25" customHeight="1">
      <c r="D36" s="112" t="s">
        <v>38</v>
      </c>
      <c r="E36" s="110"/>
      <c r="F36" s="111" t="s">
        <v>129</v>
      </c>
      <c r="G36" s="20" t="s">
        <v>39</v>
      </c>
      <c r="O36" s="2"/>
    </row>
    <row r="37" spans="1:15" s="103" customFormat="1" ht="14.25" customHeight="1">
      <c r="A37"/>
      <c r="B37" s="106" t="s">
        <v>130</v>
      </c>
      <c r="C37" s="107" t="s">
        <v>131</v>
      </c>
      <c r="D37"/>
      <c r="E37"/>
      <c r="F37"/>
      <c r="G37"/>
      <c r="H37"/>
      <c r="I37"/>
      <c r="J37"/>
      <c r="K37"/>
      <c r="L37"/>
      <c r="M37"/>
      <c r="N37" s="1"/>
      <c r="O37" s="113"/>
    </row>
    <row r="38" ht="14.25" customHeight="1">
      <c r="O38" s="2"/>
    </row>
    <row r="39" ht="14.25" customHeight="1">
      <c r="O39" s="2"/>
    </row>
    <row r="40" spans="2:15" ht="14.25" customHeight="1">
      <c r="B40" s="114" t="s">
        <v>40</v>
      </c>
      <c r="C40" s="7"/>
      <c r="D40" s="114" t="s">
        <v>41</v>
      </c>
      <c r="O40" s="2"/>
    </row>
    <row r="41" ht="5.25" customHeight="1" thickBot="1">
      <c r="O41" s="2"/>
    </row>
    <row r="42" spans="2:15" ht="14.25" customHeight="1" thickBot="1">
      <c r="B42" s="115">
        <f>1-D42</f>
        <v>0.3999999999999999</v>
      </c>
      <c r="C42" s="116" t="s">
        <v>132</v>
      </c>
      <c r="D42" s="115">
        <f>FLOOR(ROUNDDOWN($M$59,2),0.05)</f>
        <v>0.6000000000000001</v>
      </c>
      <c r="O42" s="2"/>
    </row>
    <row r="43" ht="14.25" customHeight="1">
      <c r="O43" s="2"/>
    </row>
    <row r="44" ht="18" customHeight="1">
      <c r="O44" s="2"/>
    </row>
    <row r="45" ht="14.25" customHeight="1">
      <c r="O45" s="2"/>
    </row>
    <row r="46" spans="1:14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2"/>
      <c r="N46" s="18"/>
    </row>
    <row r="47" spans="1:14" ht="6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2"/>
      <c r="N47" s="18"/>
    </row>
    <row r="48" spans="1:14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2"/>
      <c r="N48" s="18"/>
    </row>
    <row r="49" spans="1:14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2"/>
      <c r="N49" s="18"/>
    </row>
    <row r="50" spans="1:14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22"/>
      <c r="N50" s="18"/>
    </row>
    <row r="51" spans="1:14" ht="14.25" customHeight="1" thickBo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22"/>
      <c r="N51" s="18"/>
    </row>
    <row r="52" spans="1:14" ht="14.25" customHeight="1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17">
        <f>$L$88-MAX($M$88:$S$88)</f>
        <v>0</v>
      </c>
      <c r="M52" s="22" t="s">
        <v>42</v>
      </c>
      <c r="N52" s="18"/>
    </row>
    <row r="53" spans="1:21" ht="14.25" customHeight="1">
      <c r="A53" s="389" t="s">
        <v>43</v>
      </c>
      <c r="B53" s="390"/>
      <c r="C53" s="390"/>
      <c r="D53" s="390"/>
      <c r="E53" s="118"/>
      <c r="F53" s="390" t="s">
        <v>44</v>
      </c>
      <c r="G53" s="118"/>
      <c r="H53" s="118"/>
      <c r="I53" s="119"/>
      <c r="J53" s="393" t="s">
        <v>45</v>
      </c>
      <c r="K53" s="394"/>
      <c r="L53" s="399" t="s">
        <v>46</v>
      </c>
      <c r="M53" s="402" t="s">
        <v>47</v>
      </c>
      <c r="N53" s="402"/>
      <c r="O53" s="402"/>
      <c r="P53" s="402"/>
      <c r="Q53" s="402"/>
      <c r="R53" s="402"/>
      <c r="S53" s="403"/>
      <c r="T53" s="121"/>
      <c r="U53" s="121"/>
    </row>
    <row r="54" spans="1:21" ht="14.25" customHeight="1">
      <c r="A54" s="391"/>
      <c r="B54" s="392"/>
      <c r="C54" s="392"/>
      <c r="D54" s="392"/>
      <c r="E54" s="121"/>
      <c r="F54" s="392"/>
      <c r="G54" s="121"/>
      <c r="H54" s="121"/>
      <c r="I54" s="123"/>
      <c r="J54" s="395"/>
      <c r="K54" s="396"/>
      <c r="L54" s="400"/>
      <c r="M54" s="404" t="s">
        <v>48</v>
      </c>
      <c r="N54" s="404"/>
      <c r="O54" s="404"/>
      <c r="P54" s="404"/>
      <c r="Q54" s="404"/>
      <c r="R54" s="404"/>
      <c r="S54" s="405"/>
      <c r="T54" s="121"/>
      <c r="U54" s="121"/>
    </row>
    <row r="55" spans="1:21" ht="14.25" customHeight="1">
      <c r="A55" s="391"/>
      <c r="B55" s="392"/>
      <c r="C55" s="392"/>
      <c r="D55" s="392"/>
      <c r="E55" s="121"/>
      <c r="F55" s="392"/>
      <c r="G55" s="121"/>
      <c r="H55" s="121"/>
      <c r="I55" s="123"/>
      <c r="J55" s="125"/>
      <c r="K55" s="126"/>
      <c r="L55" s="400"/>
      <c r="M55" s="124"/>
      <c r="N55" s="124"/>
      <c r="O55" s="124"/>
      <c r="P55" s="124"/>
      <c r="Q55" s="124"/>
      <c r="R55" s="127"/>
      <c r="S55" s="128"/>
      <c r="T55" s="121"/>
      <c r="U55" s="121"/>
    </row>
    <row r="56" spans="1:21" ht="14.25" customHeight="1">
      <c r="A56" s="391"/>
      <c r="B56" s="392"/>
      <c r="C56" s="392"/>
      <c r="D56" s="392"/>
      <c r="E56" s="121"/>
      <c r="F56" s="392"/>
      <c r="G56" s="121"/>
      <c r="H56" s="121"/>
      <c r="I56" s="123"/>
      <c r="J56" s="406" t="s">
        <v>49</v>
      </c>
      <c r="K56" s="419" t="s">
        <v>50</v>
      </c>
      <c r="L56" s="400"/>
      <c r="M56" s="404" t="s">
        <v>51</v>
      </c>
      <c r="N56" s="404"/>
      <c r="O56" s="404"/>
      <c r="P56" s="422" t="s">
        <v>52</v>
      </c>
      <c r="Q56" s="404"/>
      <c r="R56" s="423" t="s">
        <v>133</v>
      </c>
      <c r="S56" s="424"/>
      <c r="T56" s="121"/>
      <c r="U56" s="121"/>
    </row>
    <row r="57" spans="1:21" ht="14.25" customHeight="1">
      <c r="A57" s="391"/>
      <c r="B57" s="392"/>
      <c r="C57" s="392"/>
      <c r="D57" s="392"/>
      <c r="E57" s="121"/>
      <c r="F57" s="392"/>
      <c r="G57" s="121"/>
      <c r="H57" s="121"/>
      <c r="I57" s="123"/>
      <c r="J57" s="407"/>
      <c r="K57" s="420"/>
      <c r="L57" s="401"/>
      <c r="M57" s="127" t="s">
        <v>53</v>
      </c>
      <c r="N57" s="129" t="s">
        <v>54</v>
      </c>
      <c r="O57" s="129" t="s">
        <v>55</v>
      </c>
      <c r="P57" s="129" t="s">
        <v>134</v>
      </c>
      <c r="Q57" s="129" t="s">
        <v>55</v>
      </c>
      <c r="R57" s="129" t="s">
        <v>133</v>
      </c>
      <c r="S57" s="130" t="s">
        <v>55</v>
      </c>
      <c r="T57" s="121"/>
      <c r="U57" s="121"/>
    </row>
    <row r="58" spans="1:21" ht="14.25" customHeight="1" thickBot="1">
      <c r="A58" s="131"/>
      <c r="B58" s="132"/>
      <c r="C58" s="132"/>
      <c r="D58" s="133" t="s">
        <v>56</v>
      </c>
      <c r="E58" s="133"/>
      <c r="F58" s="132" t="s">
        <v>57</v>
      </c>
      <c r="G58" s="132" t="s">
        <v>58</v>
      </c>
      <c r="H58" s="132" t="s">
        <v>58</v>
      </c>
      <c r="I58" s="134" t="s">
        <v>56</v>
      </c>
      <c r="J58" s="408"/>
      <c r="K58" s="421"/>
      <c r="L58" s="135" t="s">
        <v>135</v>
      </c>
      <c r="M58" s="136" t="s">
        <v>136</v>
      </c>
      <c r="N58" s="137" t="s">
        <v>137</v>
      </c>
      <c r="O58" s="137" t="s">
        <v>138</v>
      </c>
      <c r="P58" s="137" t="s">
        <v>139</v>
      </c>
      <c r="Q58" s="137" t="s">
        <v>140</v>
      </c>
      <c r="R58" s="137" t="s">
        <v>141</v>
      </c>
      <c r="S58" s="138" t="s">
        <v>142</v>
      </c>
      <c r="T58" s="121"/>
      <c r="U58" s="121"/>
    </row>
    <row r="59" spans="1:20" ht="14.25" customHeight="1">
      <c r="A59" s="139"/>
      <c r="B59" s="140"/>
      <c r="C59" s="2" t="s">
        <v>59</v>
      </c>
      <c r="D59" s="141"/>
      <c r="E59" s="141"/>
      <c r="F59" s="2"/>
      <c r="G59" s="2"/>
      <c r="H59" s="2"/>
      <c r="I59" s="119"/>
      <c r="J59" s="122"/>
      <c r="K59" s="121"/>
      <c r="L59" s="142">
        <f>1-M59</f>
        <v>0.350783537110384</v>
      </c>
      <c r="M59" s="425">
        <v>0.649216462889616</v>
      </c>
      <c r="N59" s="425"/>
      <c r="O59" s="425"/>
      <c r="P59" s="425"/>
      <c r="Q59" s="425"/>
      <c r="R59" s="425"/>
      <c r="S59" s="426"/>
      <c r="T59" s="143" t="s">
        <v>60</v>
      </c>
    </row>
    <row r="60" spans="1:20" ht="14.25" customHeight="1" thickBot="1">
      <c r="A60" s="139"/>
      <c r="B60" s="140"/>
      <c r="C60" s="2" t="s">
        <v>61</v>
      </c>
      <c r="D60" s="141"/>
      <c r="E60" s="141"/>
      <c r="F60" s="2"/>
      <c r="G60" s="2"/>
      <c r="H60" s="2"/>
      <c r="I60" s="134"/>
      <c r="J60" s="122"/>
      <c r="K60" s="121"/>
      <c r="L60" s="144" t="s">
        <v>62</v>
      </c>
      <c r="M60" s="145">
        <f>M21</f>
        <v>0.42</v>
      </c>
      <c r="N60" s="146">
        <f>M22</f>
        <v>0.12</v>
      </c>
      <c r="O60" s="146">
        <f>M23</f>
        <v>0.06</v>
      </c>
      <c r="P60" s="146">
        <f>M24</f>
        <v>0.18</v>
      </c>
      <c r="Q60" s="147">
        <f>M25</f>
        <v>0.02</v>
      </c>
      <c r="R60" s="146">
        <f>M26</f>
        <v>0.18</v>
      </c>
      <c r="S60" s="148">
        <f>M27</f>
        <v>0.02</v>
      </c>
      <c r="T60" s="149"/>
    </row>
    <row r="61" spans="1:21" ht="14.25" customHeight="1" thickBot="1">
      <c r="A61" s="150" t="s">
        <v>143</v>
      </c>
      <c r="B61" s="151"/>
      <c r="C61" s="152" t="s">
        <v>63</v>
      </c>
      <c r="D61" s="153">
        <v>1</v>
      </c>
      <c r="E61" s="153"/>
      <c r="F61" s="152" t="s">
        <v>64</v>
      </c>
      <c r="G61" s="152"/>
      <c r="H61" s="152"/>
      <c r="I61" s="154">
        <v>1</v>
      </c>
      <c r="J61" s="155" t="s">
        <v>144</v>
      </c>
      <c r="K61" s="155" t="s">
        <v>144</v>
      </c>
      <c r="L61" s="156">
        <f>I61*L59</f>
        <v>0.350783537110384</v>
      </c>
      <c r="M61" s="157">
        <f aca="true" t="shared" si="5" ref="M61:S65">$I61*$M$59*M$60</f>
        <v>0.2726709144136387</v>
      </c>
      <c r="N61" s="158">
        <f t="shared" si="5"/>
        <v>0.07790597554675392</v>
      </c>
      <c r="O61" s="158">
        <f t="shared" si="5"/>
        <v>0.03895298777337696</v>
      </c>
      <c r="P61" s="158">
        <f t="shared" si="5"/>
        <v>0.11685896332013088</v>
      </c>
      <c r="Q61" s="158">
        <f t="shared" si="5"/>
        <v>0.01298432925779232</v>
      </c>
      <c r="R61" s="158">
        <f t="shared" si="5"/>
        <v>0.11685896332013088</v>
      </c>
      <c r="S61" s="159">
        <f t="shared" si="5"/>
        <v>0.01298432925779232</v>
      </c>
      <c r="T61" s="5">
        <f>SUM(L61:S61)</f>
        <v>1.0000000000000002</v>
      </c>
      <c r="U61" s="160">
        <f>SUM(L61:S61)</f>
        <v>1.0000000000000002</v>
      </c>
    </row>
    <row r="62" spans="1:21" ht="14.25" customHeight="1">
      <c r="A62" s="139" t="s">
        <v>65</v>
      </c>
      <c r="B62" s="140"/>
      <c r="C62" s="161" t="s">
        <v>66</v>
      </c>
      <c r="D62" s="162">
        <v>2</v>
      </c>
      <c r="E62" s="162"/>
      <c r="F62" s="161" t="s">
        <v>67</v>
      </c>
      <c r="G62" s="161" t="s">
        <v>68</v>
      </c>
      <c r="H62" s="161"/>
      <c r="I62" s="163">
        <v>0.5</v>
      </c>
      <c r="J62" s="164" t="s">
        <v>145</v>
      </c>
      <c r="K62" s="164" t="s">
        <v>145</v>
      </c>
      <c r="L62" s="384">
        <f>SUM(I62:I65)*L59</f>
        <v>0.701567074220768</v>
      </c>
      <c r="M62" s="165">
        <f t="shared" si="5"/>
        <v>0.13633545720681936</v>
      </c>
      <c r="N62" s="166">
        <f t="shared" si="5"/>
        <v>0.03895298777337696</v>
      </c>
      <c r="O62" s="166">
        <f t="shared" si="5"/>
        <v>0.01947649388668848</v>
      </c>
      <c r="P62" s="166">
        <f t="shared" si="5"/>
        <v>0.05842948166006544</v>
      </c>
      <c r="Q62" s="166">
        <f t="shared" si="5"/>
        <v>0.00649216462889616</v>
      </c>
      <c r="R62" s="166">
        <f t="shared" si="5"/>
        <v>0.05842948166006544</v>
      </c>
      <c r="S62" s="167">
        <f t="shared" si="5"/>
        <v>0.00649216462889616</v>
      </c>
      <c r="T62" s="5">
        <f>I62*$L$59+SUM(M62:S62)</f>
        <v>0.5</v>
      </c>
      <c r="U62" s="367">
        <f>SUM(L62:S65)</f>
        <v>2.0000000000000004</v>
      </c>
    </row>
    <row r="63" spans="1:21" ht="14.25" customHeight="1">
      <c r="A63" s="168">
        <f>SUM(I61:I70)</f>
        <v>5</v>
      </c>
      <c r="B63" s="169" t="s">
        <v>146</v>
      </c>
      <c r="C63" s="170" t="s">
        <v>69</v>
      </c>
      <c r="D63" s="171"/>
      <c r="E63" s="171"/>
      <c r="F63" s="172" t="s">
        <v>70</v>
      </c>
      <c r="G63" s="172" t="s">
        <v>71</v>
      </c>
      <c r="H63" s="172"/>
      <c r="I63" s="173">
        <v>0.5</v>
      </c>
      <c r="J63" s="174" t="s">
        <v>72</v>
      </c>
      <c r="K63" s="174" t="s">
        <v>147</v>
      </c>
      <c r="L63" s="368"/>
      <c r="M63" s="175">
        <f t="shared" si="5"/>
        <v>0.13633545720681936</v>
      </c>
      <c r="N63" s="176">
        <f t="shared" si="5"/>
        <v>0.03895298777337696</v>
      </c>
      <c r="O63" s="176">
        <f t="shared" si="5"/>
        <v>0.01947649388668848</v>
      </c>
      <c r="P63" s="176">
        <f t="shared" si="5"/>
        <v>0.05842948166006544</v>
      </c>
      <c r="Q63" s="176">
        <f t="shared" si="5"/>
        <v>0.00649216462889616</v>
      </c>
      <c r="R63" s="176">
        <f t="shared" si="5"/>
        <v>0.05842948166006544</v>
      </c>
      <c r="S63" s="177">
        <f t="shared" si="5"/>
        <v>0.00649216462889616</v>
      </c>
      <c r="T63" s="5">
        <f aca="true" t="shared" si="6" ref="T63:T84">I63*$L$59+SUM(M63:S63)</f>
        <v>0.5</v>
      </c>
      <c r="U63" s="368"/>
    </row>
    <row r="64" spans="1:21" ht="14.25" customHeight="1">
      <c r="A64" s="139" t="s">
        <v>74</v>
      </c>
      <c r="B64" s="140"/>
      <c r="C64" s="170"/>
      <c r="D64" s="171"/>
      <c r="E64" s="171"/>
      <c r="F64" s="178" t="s">
        <v>75</v>
      </c>
      <c r="G64" s="178" t="s">
        <v>76</v>
      </c>
      <c r="H64" s="178"/>
      <c r="I64" s="173">
        <v>0.5</v>
      </c>
      <c r="J64" s="174" t="s">
        <v>72</v>
      </c>
      <c r="K64" s="174" t="s">
        <v>77</v>
      </c>
      <c r="L64" s="368"/>
      <c r="M64" s="175">
        <f t="shared" si="5"/>
        <v>0.13633545720681936</v>
      </c>
      <c r="N64" s="176">
        <f t="shared" si="5"/>
        <v>0.03895298777337696</v>
      </c>
      <c r="O64" s="176">
        <f t="shared" si="5"/>
        <v>0.01947649388668848</v>
      </c>
      <c r="P64" s="176">
        <f t="shared" si="5"/>
        <v>0.05842948166006544</v>
      </c>
      <c r="Q64" s="176">
        <f t="shared" si="5"/>
        <v>0.00649216462889616</v>
      </c>
      <c r="R64" s="176">
        <f t="shared" si="5"/>
        <v>0.05842948166006544</v>
      </c>
      <c r="S64" s="177">
        <f t="shared" si="5"/>
        <v>0.00649216462889616</v>
      </c>
      <c r="T64" s="5">
        <f t="shared" si="6"/>
        <v>0.5</v>
      </c>
      <c r="U64" s="368"/>
    </row>
    <row r="65" spans="1:21" ht="14.25" customHeight="1" thickBot="1">
      <c r="A65" s="168">
        <f>SUM(I61:I70)</f>
        <v>5</v>
      </c>
      <c r="B65" s="169" t="s">
        <v>78</v>
      </c>
      <c r="C65" s="170"/>
      <c r="D65" s="171"/>
      <c r="E65" s="171"/>
      <c r="F65" s="179" t="s">
        <v>79</v>
      </c>
      <c r="G65" s="179" t="s">
        <v>80</v>
      </c>
      <c r="H65" s="179"/>
      <c r="I65" s="173">
        <v>0.5</v>
      </c>
      <c r="J65" s="174" t="s">
        <v>72</v>
      </c>
      <c r="K65" s="174" t="s">
        <v>148</v>
      </c>
      <c r="L65" s="375"/>
      <c r="M65" s="175">
        <f t="shared" si="5"/>
        <v>0.13633545720681936</v>
      </c>
      <c r="N65" s="176">
        <f t="shared" si="5"/>
        <v>0.03895298777337696</v>
      </c>
      <c r="O65" s="176">
        <f t="shared" si="5"/>
        <v>0.01947649388668848</v>
      </c>
      <c r="P65" s="176">
        <f t="shared" si="5"/>
        <v>0.05842948166006544</v>
      </c>
      <c r="Q65" s="176">
        <f t="shared" si="5"/>
        <v>0.00649216462889616</v>
      </c>
      <c r="R65" s="176">
        <f t="shared" si="5"/>
        <v>0.05842948166006544</v>
      </c>
      <c r="S65" s="177">
        <f t="shared" si="5"/>
        <v>0.00649216462889616</v>
      </c>
      <c r="T65" s="5">
        <f t="shared" si="6"/>
        <v>0.5</v>
      </c>
      <c r="U65" s="369"/>
    </row>
    <row r="66" spans="1:21" ht="14.25" customHeight="1" thickBot="1">
      <c r="A66" s="139"/>
      <c r="B66" s="2"/>
      <c r="C66" s="181"/>
      <c r="D66" s="182"/>
      <c r="E66" s="182"/>
      <c r="F66" s="183"/>
      <c r="G66" s="183"/>
      <c r="H66" s="183"/>
      <c r="I66" s="184"/>
      <c r="J66" s="185"/>
      <c r="K66" s="183"/>
      <c r="L66" s="186">
        <f aca="true" t="shared" si="7" ref="L66:S66">SUM(L62:L65)</f>
        <v>0.701567074220768</v>
      </c>
      <c r="M66" s="187">
        <f t="shared" si="7"/>
        <v>0.5453418288272774</v>
      </c>
      <c r="N66" s="188">
        <f t="shared" si="7"/>
        <v>0.15581195109350784</v>
      </c>
      <c r="O66" s="188">
        <f t="shared" si="7"/>
        <v>0.07790597554675392</v>
      </c>
      <c r="P66" s="188">
        <f t="shared" si="7"/>
        <v>0.23371792664026175</v>
      </c>
      <c r="Q66" s="188">
        <f t="shared" si="7"/>
        <v>0.02596865851558464</v>
      </c>
      <c r="R66" s="188">
        <f t="shared" si="7"/>
        <v>0.23371792664026175</v>
      </c>
      <c r="S66" s="189">
        <f t="shared" si="7"/>
        <v>0.02596865851558464</v>
      </c>
      <c r="T66" s="190">
        <f>SUM(L66:S66)</f>
        <v>2.0000000000000004</v>
      </c>
      <c r="U66" s="191" t="s">
        <v>81</v>
      </c>
    </row>
    <row r="67" spans="1:21" ht="14.25" customHeight="1">
      <c r="A67" s="139"/>
      <c r="B67" s="140"/>
      <c r="C67" s="161" t="s">
        <v>82</v>
      </c>
      <c r="D67" s="162">
        <v>2</v>
      </c>
      <c r="E67" s="162"/>
      <c r="F67" s="161" t="s">
        <v>83</v>
      </c>
      <c r="G67" s="161" t="s">
        <v>84</v>
      </c>
      <c r="H67" s="161"/>
      <c r="I67" s="192">
        <v>0.5</v>
      </c>
      <c r="J67" s="164" t="s">
        <v>72</v>
      </c>
      <c r="K67" s="164" t="s">
        <v>149</v>
      </c>
      <c r="L67" s="368">
        <f>SUM(I67:I70)*L59</f>
        <v>0.701567074220768</v>
      </c>
      <c r="M67" s="193">
        <f aca="true" t="shared" si="8" ref="M67:S74">$I67*$M$59*M$60</f>
        <v>0.13633545720681936</v>
      </c>
      <c r="N67" s="194">
        <f t="shared" si="8"/>
        <v>0.03895298777337696</v>
      </c>
      <c r="O67" s="194">
        <f t="shared" si="8"/>
        <v>0.01947649388668848</v>
      </c>
      <c r="P67" s="194">
        <f t="shared" si="8"/>
        <v>0.05842948166006544</v>
      </c>
      <c r="Q67" s="194">
        <f t="shared" si="8"/>
        <v>0.00649216462889616</v>
      </c>
      <c r="R67" s="194">
        <f t="shared" si="8"/>
        <v>0.05842948166006544</v>
      </c>
      <c r="S67" s="195">
        <f t="shared" si="8"/>
        <v>0.00649216462889616</v>
      </c>
      <c r="T67" s="5">
        <f t="shared" si="6"/>
        <v>0.5</v>
      </c>
      <c r="U67" s="367">
        <f>SUM(L67:S70)</f>
        <v>2.0000000000000004</v>
      </c>
    </row>
    <row r="68" spans="1:21" ht="14.25" customHeight="1">
      <c r="A68" s="139"/>
      <c r="B68" s="140"/>
      <c r="C68" s="172" t="s">
        <v>85</v>
      </c>
      <c r="D68" s="196"/>
      <c r="E68" s="196"/>
      <c r="F68" s="172" t="s">
        <v>70</v>
      </c>
      <c r="G68" s="172" t="s">
        <v>71</v>
      </c>
      <c r="H68" s="172"/>
      <c r="I68" s="173">
        <v>0.5</v>
      </c>
      <c r="J68" s="197" t="s">
        <v>72</v>
      </c>
      <c r="K68" s="197" t="s">
        <v>150</v>
      </c>
      <c r="L68" s="368"/>
      <c r="M68" s="175">
        <f t="shared" si="8"/>
        <v>0.13633545720681936</v>
      </c>
      <c r="N68" s="176">
        <f t="shared" si="8"/>
        <v>0.03895298777337696</v>
      </c>
      <c r="O68" s="176">
        <f t="shared" si="8"/>
        <v>0.01947649388668848</v>
      </c>
      <c r="P68" s="176">
        <f t="shared" si="8"/>
        <v>0.05842948166006544</v>
      </c>
      <c r="Q68" s="176">
        <f t="shared" si="8"/>
        <v>0.00649216462889616</v>
      </c>
      <c r="R68" s="176">
        <f t="shared" si="8"/>
        <v>0.05842948166006544</v>
      </c>
      <c r="S68" s="177">
        <f t="shared" si="8"/>
        <v>0.00649216462889616</v>
      </c>
      <c r="T68" s="5">
        <f t="shared" si="6"/>
        <v>0.5</v>
      </c>
      <c r="U68" s="368"/>
    </row>
    <row r="69" spans="1:21" ht="14.25" customHeight="1">
      <c r="A69" s="139"/>
      <c r="B69" s="140"/>
      <c r="C69" s="172"/>
      <c r="D69" s="196"/>
      <c r="E69" s="196"/>
      <c r="F69" s="178" t="s">
        <v>75</v>
      </c>
      <c r="G69" s="178" t="s">
        <v>76</v>
      </c>
      <c r="H69" s="178"/>
      <c r="I69" s="173">
        <v>0.5</v>
      </c>
      <c r="J69" s="197" t="s">
        <v>72</v>
      </c>
      <c r="K69" s="197" t="s">
        <v>77</v>
      </c>
      <c r="L69" s="368"/>
      <c r="M69" s="175">
        <f t="shared" si="8"/>
        <v>0.13633545720681936</v>
      </c>
      <c r="N69" s="176">
        <f t="shared" si="8"/>
        <v>0.03895298777337696</v>
      </c>
      <c r="O69" s="176">
        <f t="shared" si="8"/>
        <v>0.01947649388668848</v>
      </c>
      <c r="P69" s="176">
        <f t="shared" si="8"/>
        <v>0.05842948166006544</v>
      </c>
      <c r="Q69" s="176">
        <f t="shared" si="8"/>
        <v>0.00649216462889616</v>
      </c>
      <c r="R69" s="176">
        <f t="shared" si="8"/>
        <v>0.05842948166006544</v>
      </c>
      <c r="S69" s="177">
        <f t="shared" si="8"/>
        <v>0.00649216462889616</v>
      </c>
      <c r="T69" s="5">
        <f t="shared" si="6"/>
        <v>0.5</v>
      </c>
      <c r="U69" s="368"/>
    </row>
    <row r="70" spans="1:21" ht="14.25" customHeight="1" thickBot="1">
      <c r="A70" s="198"/>
      <c r="B70" s="199"/>
      <c r="C70" s="200"/>
      <c r="D70" s="201"/>
      <c r="E70" s="201"/>
      <c r="F70" s="202" t="s">
        <v>79</v>
      </c>
      <c r="G70" s="202" t="s">
        <v>80</v>
      </c>
      <c r="H70" s="202"/>
      <c r="I70" s="203">
        <v>0.5</v>
      </c>
      <c r="J70" s="204" t="s">
        <v>72</v>
      </c>
      <c r="K70" s="204" t="s">
        <v>151</v>
      </c>
      <c r="L70" s="385"/>
      <c r="M70" s="205">
        <f t="shared" si="8"/>
        <v>0.13633545720681936</v>
      </c>
      <c r="N70" s="206">
        <f t="shared" si="8"/>
        <v>0.03895298777337696</v>
      </c>
      <c r="O70" s="206">
        <f t="shared" si="8"/>
        <v>0.01947649388668848</v>
      </c>
      <c r="P70" s="206">
        <f t="shared" si="8"/>
        <v>0.05842948166006544</v>
      </c>
      <c r="Q70" s="206">
        <f t="shared" si="8"/>
        <v>0.00649216462889616</v>
      </c>
      <c r="R70" s="206">
        <f t="shared" si="8"/>
        <v>0.05842948166006544</v>
      </c>
      <c r="S70" s="207">
        <f t="shared" si="8"/>
        <v>0.00649216462889616</v>
      </c>
      <c r="T70" s="5">
        <f t="shared" si="6"/>
        <v>0.5</v>
      </c>
      <c r="U70" s="369"/>
    </row>
    <row r="71" spans="1:21" ht="13.5">
      <c r="A71" s="139" t="s">
        <v>86</v>
      </c>
      <c r="B71" s="208"/>
      <c r="C71" s="209" t="s">
        <v>87</v>
      </c>
      <c r="D71" s="210">
        <v>4</v>
      </c>
      <c r="E71" s="210"/>
      <c r="F71" s="211" t="s">
        <v>88</v>
      </c>
      <c r="G71" s="211" t="s">
        <v>89</v>
      </c>
      <c r="H71" s="211"/>
      <c r="I71" s="192">
        <v>2</v>
      </c>
      <c r="J71" s="212" t="s">
        <v>72</v>
      </c>
      <c r="K71" s="212" t="s">
        <v>152</v>
      </c>
      <c r="L71" s="377">
        <f>SUM(I71:I72)*L59</f>
        <v>1.403134148441536</v>
      </c>
      <c r="M71" s="213">
        <f t="shared" si="8"/>
        <v>0.5453418288272774</v>
      </c>
      <c r="N71" s="214">
        <f t="shared" si="8"/>
        <v>0.15581195109350784</v>
      </c>
      <c r="O71" s="214">
        <f t="shared" si="8"/>
        <v>0.07790597554675392</v>
      </c>
      <c r="P71" s="214">
        <f t="shared" si="8"/>
        <v>0.23371792664026175</v>
      </c>
      <c r="Q71" s="214">
        <f t="shared" si="8"/>
        <v>0.02596865851558464</v>
      </c>
      <c r="R71" s="214">
        <f t="shared" si="8"/>
        <v>0.23371792664026175</v>
      </c>
      <c r="S71" s="215">
        <f t="shared" si="8"/>
        <v>0.02596865851558464</v>
      </c>
      <c r="T71" s="5">
        <f t="shared" si="6"/>
        <v>2</v>
      </c>
      <c r="U71" s="367">
        <f>SUM(L71:S72)</f>
        <v>4</v>
      </c>
    </row>
    <row r="72" spans="1:21" ht="21.75" thickBot="1">
      <c r="A72" s="216" t="s">
        <v>65</v>
      </c>
      <c r="B72" s="217"/>
      <c r="C72" s="218" t="s">
        <v>153</v>
      </c>
      <c r="D72" s="219"/>
      <c r="E72" s="219"/>
      <c r="F72" s="220" t="s">
        <v>90</v>
      </c>
      <c r="G72" s="220" t="s">
        <v>89</v>
      </c>
      <c r="H72" s="220" t="s">
        <v>91</v>
      </c>
      <c r="I72" s="221">
        <v>2</v>
      </c>
      <c r="J72" s="222" t="s">
        <v>154</v>
      </c>
      <c r="K72" s="222" t="s">
        <v>154</v>
      </c>
      <c r="L72" s="375"/>
      <c r="M72" s="223">
        <f t="shared" si="8"/>
        <v>0.5453418288272774</v>
      </c>
      <c r="N72" s="224">
        <f t="shared" si="8"/>
        <v>0.15581195109350784</v>
      </c>
      <c r="O72" s="224">
        <f t="shared" si="8"/>
        <v>0.07790597554675392</v>
      </c>
      <c r="P72" s="224">
        <f t="shared" si="8"/>
        <v>0.23371792664026175</v>
      </c>
      <c r="Q72" s="224">
        <f t="shared" si="8"/>
        <v>0.02596865851558464</v>
      </c>
      <c r="R72" s="224">
        <f t="shared" si="8"/>
        <v>0.23371792664026175</v>
      </c>
      <c r="S72" s="225">
        <f t="shared" si="8"/>
        <v>0.02596865851558464</v>
      </c>
      <c r="T72" s="5">
        <f t="shared" si="6"/>
        <v>2</v>
      </c>
      <c r="U72" s="369"/>
    </row>
    <row r="73" spans="1:21" ht="31.5">
      <c r="A73" s="168">
        <f>SUM(I71:I80)</f>
        <v>14</v>
      </c>
      <c r="B73" s="169" t="s">
        <v>155</v>
      </c>
      <c r="C73" s="226" t="s">
        <v>92</v>
      </c>
      <c r="D73" s="227">
        <v>3</v>
      </c>
      <c r="E73" s="227"/>
      <c r="F73" s="170" t="s">
        <v>93</v>
      </c>
      <c r="G73" s="170" t="s">
        <v>94</v>
      </c>
      <c r="H73" s="170"/>
      <c r="I73" s="173">
        <v>1</v>
      </c>
      <c r="J73" s="228" t="s">
        <v>72</v>
      </c>
      <c r="K73" s="228" t="s">
        <v>73</v>
      </c>
      <c r="L73" s="368">
        <f>SUM(I73:I74)*L59</f>
        <v>0.701567074220768</v>
      </c>
      <c r="M73" s="175">
        <f t="shared" si="8"/>
        <v>0.2726709144136387</v>
      </c>
      <c r="N73" s="176">
        <f t="shared" si="8"/>
        <v>0.07790597554675392</v>
      </c>
      <c r="O73" s="176">
        <f t="shared" si="8"/>
        <v>0.03895298777337696</v>
      </c>
      <c r="P73" s="176">
        <f t="shared" si="8"/>
        <v>0.11685896332013088</v>
      </c>
      <c r="Q73" s="176">
        <f t="shared" si="8"/>
        <v>0.01298432925779232</v>
      </c>
      <c r="R73" s="176">
        <f t="shared" si="8"/>
        <v>0.11685896332013088</v>
      </c>
      <c r="S73" s="177">
        <f t="shared" si="8"/>
        <v>0.01298432925779232</v>
      </c>
      <c r="T73" s="5">
        <f t="shared" si="6"/>
        <v>1</v>
      </c>
      <c r="U73" s="368">
        <f>SUM(L73:S74)</f>
        <v>2</v>
      </c>
    </row>
    <row r="74" spans="1:21" ht="21.75" thickBot="1">
      <c r="A74" s="139" t="s">
        <v>74</v>
      </c>
      <c r="B74" s="140"/>
      <c r="C74" s="229"/>
      <c r="D74" s="230"/>
      <c r="E74" s="230"/>
      <c r="F74" s="179" t="s">
        <v>95</v>
      </c>
      <c r="G74" s="179" t="s">
        <v>94</v>
      </c>
      <c r="H74" s="179" t="s">
        <v>96</v>
      </c>
      <c r="I74" s="173">
        <v>1</v>
      </c>
      <c r="J74" s="231" t="s">
        <v>72</v>
      </c>
      <c r="K74" s="231" t="s">
        <v>148</v>
      </c>
      <c r="L74" s="375"/>
      <c r="M74" s="175">
        <f t="shared" si="8"/>
        <v>0.2726709144136387</v>
      </c>
      <c r="N74" s="176">
        <f t="shared" si="8"/>
        <v>0.07790597554675392</v>
      </c>
      <c r="O74" s="176">
        <f t="shared" si="8"/>
        <v>0.03895298777337696</v>
      </c>
      <c r="P74" s="176">
        <f t="shared" si="8"/>
        <v>0.11685896332013088</v>
      </c>
      <c r="Q74" s="176">
        <f t="shared" si="8"/>
        <v>0.01298432925779232</v>
      </c>
      <c r="R74" s="176">
        <f t="shared" si="8"/>
        <v>0.11685896332013088</v>
      </c>
      <c r="S74" s="177">
        <f t="shared" si="8"/>
        <v>0.01298432925779232</v>
      </c>
      <c r="T74" s="5">
        <f>I74*$L$59+SUM(M74:S74)</f>
        <v>1</v>
      </c>
      <c r="U74" s="369"/>
    </row>
    <row r="75" spans="1:21" ht="42.75" thickBot="1">
      <c r="A75" s="168">
        <f>SUM(I71:I74)+SUM(I76:I78)</f>
        <v>10</v>
      </c>
      <c r="B75" s="169" t="s">
        <v>156</v>
      </c>
      <c r="C75" s="170"/>
      <c r="D75" s="230"/>
      <c r="E75" s="230"/>
      <c r="F75" s="232" t="s">
        <v>97</v>
      </c>
      <c r="G75" s="232" t="s">
        <v>80</v>
      </c>
      <c r="H75" s="232" t="s">
        <v>96</v>
      </c>
      <c r="I75" s="233">
        <f>IF($J$12=1,1,0)</f>
        <v>1</v>
      </c>
      <c r="J75" s="234" t="s">
        <v>72</v>
      </c>
      <c r="K75" s="234"/>
      <c r="L75" s="235" t="s">
        <v>157</v>
      </c>
      <c r="M75" s="236">
        <f>IF($J$12=2,"－",IF(M$60=0,"0",$I75*M$60/SUM($M$60,$N$60,$P$60,$R$60)))</f>
        <v>0.4666666666666667</v>
      </c>
      <c r="N75" s="237">
        <f>IF($J$12=2,"－",IF(N$60=0,"0",$I75*N$60/SUM($M$60,$N$60,$P$60,$R$60)))</f>
        <v>0.13333333333333333</v>
      </c>
      <c r="O75" s="237" t="s">
        <v>157</v>
      </c>
      <c r="P75" s="237">
        <f>IF($J$12=2,"－",IF(P$60=0,"0",$I75*P$60/SUM($M$60,$N$60,$P$60,$R$60)))</f>
        <v>0.2</v>
      </c>
      <c r="Q75" s="237" t="s">
        <v>157</v>
      </c>
      <c r="R75" s="237">
        <f>IF($J$12=2,"－",IF(R$60=0,"0",$I75*R$60/SUM($M$60,$N$60,$P$60,$R$60)))</f>
        <v>0.2</v>
      </c>
      <c r="S75" s="238" t="s">
        <v>157</v>
      </c>
      <c r="T75" s="5">
        <f>SUM(M75:S75)</f>
        <v>1</v>
      </c>
      <c r="U75" s="239">
        <v>1</v>
      </c>
    </row>
    <row r="76" spans="1:21" ht="42">
      <c r="A76" s="139"/>
      <c r="B76" s="140"/>
      <c r="C76" s="179" t="s">
        <v>98</v>
      </c>
      <c r="D76" s="230">
        <v>7</v>
      </c>
      <c r="E76" s="230"/>
      <c r="F76" s="178" t="s">
        <v>99</v>
      </c>
      <c r="G76" s="178" t="s">
        <v>94</v>
      </c>
      <c r="H76" s="178"/>
      <c r="I76" s="173">
        <v>1.5</v>
      </c>
      <c r="J76" s="231" t="s">
        <v>72</v>
      </c>
      <c r="K76" s="231" t="s">
        <v>73</v>
      </c>
      <c r="L76" s="376">
        <f>SUM(I76:I78)*L59</f>
        <v>1.403134148441536</v>
      </c>
      <c r="M76" s="175">
        <f aca="true" t="shared" si="9" ref="M76:S78">$I76*$M$59*M$60</f>
        <v>0.40900637162045805</v>
      </c>
      <c r="N76" s="176">
        <f t="shared" si="9"/>
        <v>0.11685896332013088</v>
      </c>
      <c r="O76" s="176">
        <f t="shared" si="9"/>
        <v>0.05842948166006544</v>
      </c>
      <c r="P76" s="176">
        <f t="shared" si="9"/>
        <v>0.1752884449801963</v>
      </c>
      <c r="Q76" s="176">
        <f t="shared" si="9"/>
        <v>0.01947649388668848</v>
      </c>
      <c r="R76" s="176">
        <f t="shared" si="9"/>
        <v>0.1752884449801963</v>
      </c>
      <c r="S76" s="177">
        <f t="shared" si="9"/>
        <v>0.01947649388668848</v>
      </c>
      <c r="T76" s="5">
        <f t="shared" si="6"/>
        <v>1.5</v>
      </c>
      <c r="U76" s="367">
        <f>SUM(L76:S78)</f>
        <v>4.000000000000001</v>
      </c>
    </row>
    <row r="77" spans="1:21" ht="21">
      <c r="A77" s="139"/>
      <c r="B77" s="140"/>
      <c r="C77" s="170"/>
      <c r="D77" s="230"/>
      <c r="E77" s="230"/>
      <c r="F77" s="178" t="s">
        <v>100</v>
      </c>
      <c r="G77" s="178" t="s">
        <v>94</v>
      </c>
      <c r="H77" s="178"/>
      <c r="I77" s="173">
        <v>1.5</v>
      </c>
      <c r="J77" s="228" t="s">
        <v>72</v>
      </c>
      <c r="K77" s="228" t="s">
        <v>73</v>
      </c>
      <c r="L77" s="368"/>
      <c r="M77" s="175">
        <f t="shared" si="9"/>
        <v>0.40900637162045805</v>
      </c>
      <c r="N77" s="176">
        <f t="shared" si="9"/>
        <v>0.11685896332013088</v>
      </c>
      <c r="O77" s="176">
        <f t="shared" si="9"/>
        <v>0.05842948166006544</v>
      </c>
      <c r="P77" s="176">
        <f t="shared" si="9"/>
        <v>0.1752884449801963</v>
      </c>
      <c r="Q77" s="176">
        <f t="shared" si="9"/>
        <v>0.01947649388668848</v>
      </c>
      <c r="R77" s="176">
        <f t="shared" si="9"/>
        <v>0.1752884449801963</v>
      </c>
      <c r="S77" s="177">
        <f t="shared" si="9"/>
        <v>0.01947649388668848</v>
      </c>
      <c r="T77" s="5">
        <f t="shared" si="6"/>
        <v>1.5</v>
      </c>
      <c r="U77" s="368"/>
    </row>
    <row r="78" spans="1:21" ht="14.25" thickBot="1">
      <c r="A78" s="139"/>
      <c r="B78" s="140"/>
      <c r="C78" s="170"/>
      <c r="D78" s="230"/>
      <c r="E78" s="230"/>
      <c r="F78" s="170" t="s">
        <v>101</v>
      </c>
      <c r="G78" s="170" t="s">
        <v>102</v>
      </c>
      <c r="H78" s="170"/>
      <c r="I78" s="173">
        <v>1</v>
      </c>
      <c r="J78" s="228" t="s">
        <v>72</v>
      </c>
      <c r="K78" s="228" t="s">
        <v>150</v>
      </c>
      <c r="L78" s="375"/>
      <c r="M78" s="175">
        <f t="shared" si="9"/>
        <v>0.2726709144136387</v>
      </c>
      <c r="N78" s="176">
        <f t="shared" si="9"/>
        <v>0.07790597554675392</v>
      </c>
      <c r="O78" s="176">
        <f t="shared" si="9"/>
        <v>0.03895298777337696</v>
      </c>
      <c r="P78" s="176">
        <f t="shared" si="9"/>
        <v>0.11685896332013088</v>
      </c>
      <c r="Q78" s="176">
        <f t="shared" si="9"/>
        <v>0.01298432925779232</v>
      </c>
      <c r="R78" s="176">
        <f t="shared" si="9"/>
        <v>0.11685896332013088</v>
      </c>
      <c r="S78" s="177">
        <f t="shared" si="9"/>
        <v>0.01298432925779232</v>
      </c>
      <c r="T78" s="5">
        <f t="shared" si="6"/>
        <v>1</v>
      </c>
      <c r="U78" s="369"/>
    </row>
    <row r="79" spans="1:21" ht="21">
      <c r="A79" s="139"/>
      <c r="B79" s="140"/>
      <c r="C79" s="172"/>
      <c r="D79" s="241"/>
      <c r="E79" s="241"/>
      <c r="F79" s="242" t="s">
        <v>103</v>
      </c>
      <c r="G79" s="242" t="s">
        <v>96</v>
      </c>
      <c r="H79" s="242"/>
      <c r="I79" s="233">
        <f>IF($J$12=1,1.5,0)</f>
        <v>1.5</v>
      </c>
      <c r="J79" s="243" t="s">
        <v>72</v>
      </c>
      <c r="K79" s="243"/>
      <c r="L79" s="235" t="s">
        <v>157</v>
      </c>
      <c r="M79" s="236">
        <f>IF($J$12=2,"－",IF(M$60=0,"0",$I79*M$60/SUM($M$60,$N$60,$P$60,$R$60)))</f>
        <v>0.7000000000000001</v>
      </c>
      <c r="N79" s="237">
        <f>IF($J$12=2,"－",IF(N$60=0,"0",$I79*N$60/SUM($M$60,$N$60,$P$60,$R$60)))</f>
        <v>0.2</v>
      </c>
      <c r="O79" s="237" t="s">
        <v>157</v>
      </c>
      <c r="P79" s="237">
        <f>IF($J$12=2,"－",IF(P$60=0,"0",$I79*P$60/SUM($M$60,$N$60,$P$60,$R$60)))</f>
        <v>0.30000000000000004</v>
      </c>
      <c r="Q79" s="237" t="s">
        <v>157</v>
      </c>
      <c r="R79" s="237">
        <f>IF($J$12=2,"－",IF(R$60=0,"0",$I79*R$60/SUM($M$60,$N$60,$P$60,$R$60)))</f>
        <v>0.30000000000000004</v>
      </c>
      <c r="S79" s="238" t="s">
        <v>157</v>
      </c>
      <c r="T79" s="5">
        <f>SUM(M79:S79)</f>
        <v>1.5000000000000002</v>
      </c>
      <c r="U79" s="370">
        <v>3</v>
      </c>
    </row>
    <row r="80" spans="1:21" ht="53.25" thickBot="1">
      <c r="A80" s="198"/>
      <c r="B80" s="199"/>
      <c r="C80" s="200"/>
      <c r="D80" s="244"/>
      <c r="E80" s="244"/>
      <c r="F80" s="245" t="s">
        <v>104</v>
      </c>
      <c r="G80" s="245" t="s">
        <v>94</v>
      </c>
      <c r="H80" s="245"/>
      <c r="I80" s="246">
        <f>IF($J$12=1,1.5,0)</f>
        <v>1.5</v>
      </c>
      <c r="J80" s="247" t="s">
        <v>72</v>
      </c>
      <c r="K80" s="247"/>
      <c r="L80" s="248" t="s">
        <v>158</v>
      </c>
      <c r="M80" s="249">
        <f>IF($J$12=2,"－",IF(M$60=0,"0",$I80*M$60/SUM($M$60,$N$60,$P$60,$R$60)))</f>
        <v>0.7000000000000001</v>
      </c>
      <c r="N80" s="250">
        <f>IF($J$12=2,"－",IF(N$60=0,"0",$I80*N$60/SUM($M$60,$N$60,$P$60,$R$60)))</f>
        <v>0.2</v>
      </c>
      <c r="O80" s="250" t="s">
        <v>158</v>
      </c>
      <c r="P80" s="250">
        <f>IF($J$12=2,"－",IF(P$60=0,"0",$I80*P$60/SUM($M$60,$N$60,$P$60,$R$60)))</f>
        <v>0.30000000000000004</v>
      </c>
      <c r="Q80" s="250" t="s">
        <v>158</v>
      </c>
      <c r="R80" s="250">
        <f>IF($J$12=2,"－",IF(R$60=0,"0",$I80*R$60/SUM($M$60,$N$60,$P$60,$R$60)))</f>
        <v>0.30000000000000004</v>
      </c>
      <c r="S80" s="251" t="s">
        <v>158</v>
      </c>
      <c r="T80" s="5">
        <f>SUM(M80:S80)</f>
        <v>1.5000000000000002</v>
      </c>
      <c r="U80" s="371"/>
    </row>
    <row r="81" spans="1:21" ht="13.5">
      <c r="A81" s="139" t="s">
        <v>105</v>
      </c>
      <c r="B81" s="252"/>
      <c r="C81" s="209" t="s">
        <v>106</v>
      </c>
      <c r="D81" s="210">
        <v>8</v>
      </c>
      <c r="E81" s="210"/>
      <c r="F81" s="161" t="s">
        <v>88</v>
      </c>
      <c r="G81" s="161" t="s">
        <v>89</v>
      </c>
      <c r="H81" s="161"/>
      <c r="I81" s="192">
        <v>4</v>
      </c>
      <c r="J81" s="212" t="s">
        <v>72</v>
      </c>
      <c r="K81" s="212" t="s">
        <v>152</v>
      </c>
      <c r="L81" s="180">
        <f>I81*L59</f>
        <v>1.403134148441536</v>
      </c>
      <c r="M81" s="193">
        <f aca="true" t="shared" si="10" ref="M81:S81">$I81*$M$59*M$60</f>
        <v>1.0906836576545549</v>
      </c>
      <c r="N81" s="194">
        <f t="shared" si="10"/>
        <v>0.3116239021870157</v>
      </c>
      <c r="O81" s="194">
        <f t="shared" si="10"/>
        <v>0.15581195109350784</v>
      </c>
      <c r="P81" s="194">
        <f t="shared" si="10"/>
        <v>0.4674358532805235</v>
      </c>
      <c r="Q81" s="194">
        <f t="shared" si="10"/>
        <v>0.05193731703116928</v>
      </c>
      <c r="R81" s="194">
        <f t="shared" si="10"/>
        <v>0.4674358532805235</v>
      </c>
      <c r="S81" s="195">
        <f t="shared" si="10"/>
        <v>0.05193731703116928</v>
      </c>
      <c r="T81" s="5">
        <f t="shared" si="6"/>
        <v>4</v>
      </c>
      <c r="U81" s="368">
        <f>SUM(L81:S82)</f>
        <v>8.000000000000002</v>
      </c>
    </row>
    <row r="82" spans="1:21" ht="14.25" thickBot="1">
      <c r="A82" s="139" t="s">
        <v>65</v>
      </c>
      <c r="B82" s="140"/>
      <c r="C82" s="209"/>
      <c r="D82" s="210"/>
      <c r="E82" s="210"/>
      <c r="F82" s="161" t="s">
        <v>107</v>
      </c>
      <c r="G82" s="161" t="s">
        <v>89</v>
      </c>
      <c r="H82" s="161" t="s">
        <v>91</v>
      </c>
      <c r="I82" s="192">
        <v>4</v>
      </c>
      <c r="J82" s="212" t="s">
        <v>154</v>
      </c>
      <c r="K82" s="212" t="s">
        <v>154</v>
      </c>
      <c r="L82" s="180">
        <f>IF(M21+M22+M24+M26=0,"－",I82*L59)</f>
        <v>1.403134148441536</v>
      </c>
      <c r="M82" s="193">
        <f>IF(M60=0,"0",I82*$M$60*$M$59/SUM($M$60,$N$60,$P$60,$R$60))</f>
        <v>1.2118707307272834</v>
      </c>
      <c r="N82" s="193">
        <f>IF(N60=0,"0",I82*N$60*$M$59/SUM($M$60,$N$60,$P$60,$R$60))</f>
        <v>0.34624878020779526</v>
      </c>
      <c r="O82" s="194" t="s">
        <v>210</v>
      </c>
      <c r="P82" s="193">
        <f>IF(P60=0,"0",I82*P$60*$M$59/SUM($M$60,$N$60,$P$60,$R$60))</f>
        <v>0.5193731703116928</v>
      </c>
      <c r="Q82" s="194" t="s">
        <v>62</v>
      </c>
      <c r="R82" s="193">
        <f>IF(R60=0,"0",I82*R$60*$M$59/SUM($M$60,$N$60,$P$60,$R$60))</f>
        <v>0.5193731703116928</v>
      </c>
      <c r="S82" s="195" t="s">
        <v>62</v>
      </c>
      <c r="T82" s="5">
        <f>I82*$L$59+SUM(M82:S82)</f>
        <v>4</v>
      </c>
      <c r="U82" s="369"/>
    </row>
    <row r="83" spans="1:21" ht="13.5">
      <c r="A83" s="168">
        <f>SUM(I81:I84)</f>
        <v>12</v>
      </c>
      <c r="B83" s="169" t="s">
        <v>159</v>
      </c>
      <c r="C83" s="253" t="s">
        <v>108</v>
      </c>
      <c r="D83" s="241">
        <v>4</v>
      </c>
      <c r="E83" s="210"/>
      <c r="F83" s="254" t="s">
        <v>109</v>
      </c>
      <c r="G83" s="254" t="s">
        <v>89</v>
      </c>
      <c r="H83" s="254" t="s">
        <v>96</v>
      </c>
      <c r="I83" s="233">
        <f>IF(J12=1,2,0)</f>
        <v>2</v>
      </c>
      <c r="J83" s="243" t="s">
        <v>72</v>
      </c>
      <c r="K83" s="243"/>
      <c r="L83" s="372">
        <f>IF(J12=2,"－",SUM(I83:I84)*L59)</f>
        <v>1.403134148441536</v>
      </c>
      <c r="M83" s="236">
        <f>IF($J$12=2,"－",IF(M$60=0,"0",$I83*M$60*$M$59/SUM($M$60,$N$60,$P$60,$R$60)))</f>
        <v>0.6059353653636417</v>
      </c>
      <c r="N83" s="236">
        <f>IF($J$12=2,"－",IF(N$60=0,"0",$I83*N$60*$M$59/SUM($M$60,$N$60,$P$60,$R$60)))</f>
        <v>0.17312439010389763</v>
      </c>
      <c r="O83" s="237" t="s">
        <v>62</v>
      </c>
      <c r="P83" s="236">
        <f>IF($J$12=2,"－",IF(P$60=0,"0",$I83*P$60*$M$59/SUM($M$60,$N$60,$P$60,$R$60)))</f>
        <v>0.2596865851558464</v>
      </c>
      <c r="Q83" s="237" t="s">
        <v>62</v>
      </c>
      <c r="R83" s="236">
        <f>IF($J$12=2,"－",IF(R$60=0,"0",$I83*R$60*$M$59/SUM($M$60,$N$60,$P$60,$R$60)))</f>
        <v>0.2596865851558464</v>
      </c>
      <c r="S83" s="238" t="s">
        <v>62</v>
      </c>
      <c r="T83" s="5">
        <f>I83*$L$59+SUM(M83:S83)</f>
        <v>2</v>
      </c>
      <c r="U83" s="370">
        <v>5.602055112232955</v>
      </c>
    </row>
    <row r="84" spans="1:21" ht="14.25" thickBot="1">
      <c r="A84" s="139" t="s">
        <v>74</v>
      </c>
      <c r="B84" s="140"/>
      <c r="C84" s="229"/>
      <c r="D84" s="255"/>
      <c r="E84" s="255"/>
      <c r="F84" s="256" t="s">
        <v>110</v>
      </c>
      <c r="G84" s="256" t="s">
        <v>89</v>
      </c>
      <c r="H84" s="256" t="s">
        <v>96</v>
      </c>
      <c r="I84" s="233">
        <f>IF(J12=1,2,0)</f>
        <v>2</v>
      </c>
      <c r="J84" s="234" t="s">
        <v>72</v>
      </c>
      <c r="K84" s="234"/>
      <c r="L84" s="373"/>
      <c r="M84" s="236">
        <f>IF($J$12=2,"－",IF(M$60=0,"0",$I84*M$60*$M$59/SUM($M$60,$N$60,$P$60,$R$60)))</f>
        <v>0.6059353653636417</v>
      </c>
      <c r="N84" s="236">
        <f>IF($J$12=2,"－",IF(N$60=0,"0",$I84*N$60*$M$59/SUM($M$60,$N$60,$P$60,$R$60)))</f>
        <v>0.17312439010389763</v>
      </c>
      <c r="O84" s="237" t="s">
        <v>62</v>
      </c>
      <c r="P84" s="236">
        <f>IF($J$12=2,"－",IF(P$60=0,"0",$I84*P$60*$M$59/SUM($M$60,$N$60,$P$60,$R$60)))</f>
        <v>0.2596865851558464</v>
      </c>
      <c r="Q84" s="237" t="s">
        <v>62</v>
      </c>
      <c r="R84" s="236">
        <f>IF($J$12=2,"－",IF(R$60=0,"0",$I84*R$60*$M$59/SUM($M$60,$N$60,$P$60,$R$60)))</f>
        <v>0.2596865851558464</v>
      </c>
      <c r="S84" s="238" t="s">
        <v>62</v>
      </c>
      <c r="T84" s="5">
        <f t="shared" si="6"/>
        <v>2</v>
      </c>
      <c r="U84" s="374"/>
    </row>
    <row r="85" spans="1:21" ht="13.5">
      <c r="A85" s="168">
        <f>SUM(I81:I82)</f>
        <v>8</v>
      </c>
      <c r="B85" s="169" t="s">
        <v>160</v>
      </c>
      <c r="C85" s="229"/>
      <c r="D85" s="255"/>
      <c r="E85" s="255"/>
      <c r="F85" s="179"/>
      <c r="G85" s="179"/>
      <c r="H85" s="179"/>
      <c r="I85" s="257"/>
      <c r="J85" s="231"/>
      <c r="K85" s="231"/>
      <c r="L85" s="240"/>
      <c r="M85" s="175"/>
      <c r="N85" s="176"/>
      <c r="O85" s="176"/>
      <c r="P85" s="176"/>
      <c r="Q85" s="176"/>
      <c r="R85" s="176"/>
      <c r="S85" s="258"/>
      <c r="T85" s="5"/>
      <c r="U85" s="5"/>
    </row>
    <row r="86" spans="1:21" ht="14.25" thickBot="1">
      <c r="A86" s="198"/>
      <c r="B86" s="199"/>
      <c r="C86" s="229"/>
      <c r="D86" s="255"/>
      <c r="E86" s="255"/>
      <c r="F86" s="179"/>
      <c r="G86" s="179"/>
      <c r="H86" s="179"/>
      <c r="I86" s="257"/>
      <c r="J86" s="231"/>
      <c r="K86" s="231"/>
      <c r="L86" s="240"/>
      <c r="M86" s="259"/>
      <c r="N86" s="260"/>
      <c r="O86" s="260"/>
      <c r="P86" s="260"/>
      <c r="Q86" s="260"/>
      <c r="R86" s="260"/>
      <c r="S86" s="261"/>
      <c r="T86" s="5"/>
      <c r="U86" s="5"/>
    </row>
    <row r="87" spans="1:21" ht="13.5">
      <c r="A87" s="150" t="s">
        <v>111</v>
      </c>
      <c r="B87" s="262"/>
      <c r="C87" s="263" t="s">
        <v>112</v>
      </c>
      <c r="D87" s="264"/>
      <c r="E87" s="264"/>
      <c r="F87" s="265"/>
      <c r="G87" s="265"/>
      <c r="H87" s="265"/>
      <c r="I87" s="266" t="s">
        <v>161</v>
      </c>
      <c r="J87" s="267"/>
      <c r="K87" s="120"/>
      <c r="L87" s="268"/>
      <c r="M87" s="269"/>
      <c r="N87" s="270"/>
      <c r="O87" s="270"/>
      <c r="P87" s="270"/>
      <c r="Q87" s="270"/>
      <c r="R87" s="270"/>
      <c r="S87" s="271"/>
      <c r="T87" s="5"/>
      <c r="U87" s="5"/>
    </row>
    <row r="88" spans="1:21" ht="13.5">
      <c r="A88" s="139"/>
      <c r="B88" s="2"/>
      <c r="C88" s="272" t="s">
        <v>113</v>
      </c>
      <c r="D88" s="273"/>
      <c r="E88" s="273"/>
      <c r="F88" s="274"/>
      <c r="G88" s="274"/>
      <c r="H88" s="274"/>
      <c r="I88" s="275" t="s">
        <v>162</v>
      </c>
      <c r="J88" s="276"/>
      <c r="K88" s="124"/>
      <c r="L88" s="277">
        <f>SUM(L61:L65)+SUM(L67:L70)+SUM(L71:L84)</f>
        <v>9.471155501980368</v>
      </c>
      <c r="M88" s="278">
        <f aca="true" t="shared" si="11" ref="M88:S88">SUM(M61:M65,M67:M70,M71:M84)</f>
        <v>9.47115550198037</v>
      </c>
      <c r="N88" s="279">
        <f t="shared" si="11"/>
        <v>2.7060444291372483</v>
      </c>
      <c r="O88" s="279">
        <f t="shared" si="11"/>
        <v>0.7401067676941623</v>
      </c>
      <c r="P88" s="279">
        <f t="shared" si="11"/>
        <v>4.059066643705872</v>
      </c>
      <c r="Q88" s="279">
        <f t="shared" si="11"/>
        <v>0.2467022558980541</v>
      </c>
      <c r="R88" s="279">
        <f t="shared" si="11"/>
        <v>4.059066643705872</v>
      </c>
      <c r="S88" s="280">
        <f t="shared" si="11"/>
        <v>0.2467022558980541</v>
      </c>
      <c r="T88" s="5"/>
      <c r="U88" s="5"/>
    </row>
    <row r="89" spans="1:21" ht="14.25" thickBot="1">
      <c r="A89" s="139"/>
      <c r="B89" s="2"/>
      <c r="C89" s="281" t="s">
        <v>114</v>
      </c>
      <c r="D89" s="282"/>
      <c r="E89" s="282"/>
      <c r="F89" s="283"/>
      <c r="G89" s="283"/>
      <c r="H89" s="283"/>
      <c r="I89" s="284" t="s">
        <v>163</v>
      </c>
      <c r="J89" s="285"/>
      <c r="K89" s="286"/>
      <c r="L89" s="287"/>
      <c r="M89" s="288"/>
      <c r="N89" s="289"/>
      <c r="O89" s="289"/>
      <c r="P89" s="289"/>
      <c r="Q89" s="289"/>
      <c r="R89" s="289"/>
      <c r="S89" s="290"/>
      <c r="T89" s="5"/>
      <c r="U89" s="5"/>
    </row>
    <row r="90" spans="1:21" ht="13.5">
      <c r="A90" s="139"/>
      <c r="B90" s="2"/>
      <c r="C90" s="291" t="s">
        <v>115</v>
      </c>
      <c r="D90" s="292"/>
      <c r="E90" s="292"/>
      <c r="F90" s="293"/>
      <c r="G90" s="293"/>
      <c r="H90" s="293"/>
      <c r="I90" s="76" t="s">
        <v>164</v>
      </c>
      <c r="J90" s="294"/>
      <c r="K90" s="295"/>
      <c r="L90" s="380"/>
      <c r="M90" s="381"/>
      <c r="N90" s="381"/>
      <c r="O90" s="381"/>
      <c r="P90" s="381"/>
      <c r="Q90" s="381"/>
      <c r="R90" s="381"/>
      <c r="S90" s="382"/>
      <c r="T90" s="5"/>
      <c r="U90" s="5"/>
    </row>
    <row r="91" spans="1:21" ht="42">
      <c r="A91" s="139"/>
      <c r="B91" s="2"/>
      <c r="C91" s="296" t="s">
        <v>116</v>
      </c>
      <c r="D91" s="297">
        <f>A63+A73+A83</f>
        <v>31</v>
      </c>
      <c r="E91" s="297"/>
      <c r="F91" s="191" t="s">
        <v>165</v>
      </c>
      <c r="G91" s="3"/>
      <c r="H91" s="3"/>
      <c r="I91" s="397" t="s">
        <v>166</v>
      </c>
      <c r="J91" s="298"/>
      <c r="K91" s="5"/>
      <c r="L91" s="413">
        <f>SUM(L88:S88)</f>
        <v>31</v>
      </c>
      <c r="M91" s="414"/>
      <c r="N91" s="414"/>
      <c r="O91" s="414"/>
      <c r="P91" s="414"/>
      <c r="Q91" s="414"/>
      <c r="R91" s="414"/>
      <c r="S91" s="415"/>
      <c r="T91" s="5"/>
      <c r="U91" s="5"/>
    </row>
    <row r="92" spans="1:21" ht="42">
      <c r="A92" s="139"/>
      <c r="B92" s="2"/>
      <c r="C92" s="299"/>
      <c r="D92" s="300">
        <f>A65+A75+A85</f>
        <v>23</v>
      </c>
      <c r="E92" s="300"/>
      <c r="F92" s="301" t="s">
        <v>117</v>
      </c>
      <c r="G92" s="293"/>
      <c r="H92" s="293"/>
      <c r="I92" s="398"/>
      <c r="J92" s="294"/>
      <c r="K92" s="295"/>
      <c r="L92" s="416"/>
      <c r="M92" s="417"/>
      <c r="N92" s="417"/>
      <c r="O92" s="417"/>
      <c r="P92" s="417"/>
      <c r="Q92" s="417"/>
      <c r="R92" s="417"/>
      <c r="S92" s="418"/>
      <c r="T92" s="5"/>
      <c r="U92" s="5"/>
    </row>
    <row r="93" spans="1:21" ht="14.25" thickBot="1">
      <c r="A93" s="302"/>
      <c r="B93" s="303"/>
      <c r="C93" s="304" t="s">
        <v>118</v>
      </c>
      <c r="D93" s="305"/>
      <c r="E93" s="305"/>
      <c r="F93" s="305"/>
      <c r="G93" s="305"/>
      <c r="H93" s="305"/>
      <c r="I93" s="306" t="s">
        <v>167</v>
      </c>
      <c r="J93" s="307"/>
      <c r="K93" s="308"/>
      <c r="L93" s="386"/>
      <c r="M93" s="387"/>
      <c r="N93" s="387"/>
      <c r="O93" s="387"/>
      <c r="P93" s="387"/>
      <c r="Q93" s="387"/>
      <c r="R93" s="387"/>
      <c r="S93" s="388"/>
      <c r="T93" s="309"/>
      <c r="U93" s="309"/>
    </row>
  </sheetData>
  <sheetProtection/>
  <mergeCells count="49">
    <mergeCell ref="C32:J32"/>
    <mergeCell ref="H18:I19"/>
    <mergeCell ref="J18:K19"/>
    <mergeCell ref="E21:E23"/>
    <mergeCell ref="Z4:AG4"/>
    <mergeCell ref="F17:M17"/>
    <mergeCell ref="M18:M19"/>
    <mergeCell ref="G18:G19"/>
    <mergeCell ref="F18:F20"/>
    <mergeCell ref="D17:E19"/>
    <mergeCell ref="Z1:AG1"/>
    <mergeCell ref="R2:R3"/>
    <mergeCell ref="W2:W3"/>
    <mergeCell ref="Z2:AG3"/>
    <mergeCell ref="L91:S92"/>
    <mergeCell ref="K56:K58"/>
    <mergeCell ref="M56:O56"/>
    <mergeCell ref="P56:Q56"/>
    <mergeCell ref="R56:S56"/>
    <mergeCell ref="M59:S59"/>
    <mergeCell ref="L93:S93"/>
    <mergeCell ref="A53:D57"/>
    <mergeCell ref="F53:F57"/>
    <mergeCell ref="J53:K54"/>
    <mergeCell ref="I91:I92"/>
    <mergeCell ref="L53:L57"/>
    <mergeCell ref="M53:S53"/>
    <mergeCell ref="M54:S54"/>
    <mergeCell ref="J56:J58"/>
    <mergeCell ref="A24:A25"/>
    <mergeCell ref="A26:A27"/>
    <mergeCell ref="E24:E27"/>
    <mergeCell ref="L90:S90"/>
    <mergeCell ref="AJ26:AJ27"/>
    <mergeCell ref="L62:L65"/>
    <mergeCell ref="U62:U65"/>
    <mergeCell ref="L67:L70"/>
    <mergeCell ref="U67:U70"/>
    <mergeCell ref="U71:U72"/>
    <mergeCell ref="C17:C19"/>
    <mergeCell ref="U76:U78"/>
    <mergeCell ref="U79:U80"/>
    <mergeCell ref="U81:U82"/>
    <mergeCell ref="L83:L84"/>
    <mergeCell ref="U83:U84"/>
    <mergeCell ref="L73:L74"/>
    <mergeCell ref="U73:U74"/>
    <mergeCell ref="L76:L78"/>
    <mergeCell ref="L71:L72"/>
  </mergeCells>
  <dataValidations count="2">
    <dataValidation type="list" allowBlank="1" showInputMessage="1" showErrorMessage="1" sqref="C21:C27">
      <formula1>"1,0"</formula1>
    </dataValidation>
    <dataValidation type="list" allowBlank="1" showInputMessage="1" showErrorMessage="1" sqref="J12">
      <formula1>"1,2"</formula1>
    </dataValidation>
  </dataValidations>
  <printOptions/>
  <pageMargins left="0.787" right="0.787" top="0.984" bottom="0.56" header="0.512" footer="0.4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view="pageBreakPreview" zoomScale="85" zoomScaleSheetLayoutView="85" zoomScalePageLayoutView="0" workbookViewId="0" topLeftCell="A1">
      <selection activeCell="C17" sqref="C17:C19"/>
    </sheetView>
  </sheetViews>
  <sheetFormatPr defaultColWidth="9.00390625" defaultRowHeight="13.5"/>
  <cols>
    <col min="1" max="1" width="9.50390625" style="0" customWidth="1"/>
    <col min="2" max="2" width="9.625" style="0" customWidth="1"/>
    <col min="3" max="9" width="10.625" style="0" customWidth="1"/>
    <col min="10" max="10" width="23.875" style="0" customWidth="1"/>
    <col min="11" max="11" width="10.625" style="0" customWidth="1"/>
    <col min="12" max="12" width="6.875" style="1" customWidth="1"/>
    <col min="13" max="13" width="9.25390625" style="18" bestFit="1" customWidth="1"/>
    <col min="14" max="14" width="9.125" style="18" bestFit="1" customWidth="1"/>
    <col min="15" max="15" width="9.25390625" style="18" bestFit="1" customWidth="1"/>
    <col min="16" max="21" width="9.00390625" style="18" customWidth="1"/>
    <col min="22" max="23" width="5.375" style="18" customWidth="1"/>
    <col min="24" max="33" width="5.625" style="18" customWidth="1"/>
  </cols>
  <sheetData>
    <row r="1" spans="13:33" ht="14.25" customHeight="1">
      <c r="M1" s="2"/>
      <c r="N1" s="2"/>
      <c r="O1" s="2"/>
      <c r="P1" s="3"/>
      <c r="Q1" s="4"/>
      <c r="R1" s="3"/>
      <c r="S1" s="3"/>
      <c r="T1" s="3"/>
      <c r="U1" s="5"/>
      <c r="V1" s="5"/>
      <c r="W1" s="5"/>
      <c r="X1" s="409"/>
      <c r="Y1" s="409"/>
      <c r="Z1" s="409"/>
      <c r="AA1" s="409"/>
      <c r="AB1" s="409"/>
      <c r="AC1" s="409"/>
      <c r="AD1" s="409"/>
      <c r="AE1" s="409"/>
      <c r="AF1" s="5"/>
      <c r="AG1" s="5"/>
    </row>
    <row r="2" spans="1:33" s="7" customFormat="1" ht="14.25" customHeight="1">
      <c r="A2" s="6" t="s">
        <v>0</v>
      </c>
      <c r="L2" s="8"/>
      <c r="M2" s="9"/>
      <c r="N2" s="9"/>
      <c r="O2" s="9"/>
      <c r="P2" s="410"/>
      <c r="Q2" s="10"/>
      <c r="R2" s="11"/>
      <c r="S2" s="12"/>
      <c r="T2" s="12"/>
      <c r="U2" s="411"/>
      <c r="V2" s="13"/>
      <c r="W2" s="13"/>
      <c r="X2" s="412"/>
      <c r="Y2" s="412"/>
      <c r="Z2" s="412"/>
      <c r="AA2" s="412"/>
      <c r="AB2" s="412"/>
      <c r="AC2" s="412"/>
      <c r="AD2" s="412"/>
      <c r="AE2" s="412"/>
      <c r="AF2" s="13"/>
      <c r="AG2" s="13"/>
    </row>
    <row r="3" spans="1:33" s="7" customFormat="1" ht="14.25" customHeight="1">
      <c r="A3" s="7" t="s">
        <v>1</v>
      </c>
      <c r="L3" s="8"/>
      <c r="M3" s="9"/>
      <c r="N3" s="9"/>
      <c r="O3" s="9"/>
      <c r="P3" s="410"/>
      <c r="Q3" s="10"/>
      <c r="R3" s="11"/>
      <c r="S3" s="12"/>
      <c r="T3" s="12"/>
      <c r="U3" s="411"/>
      <c r="V3" s="13"/>
      <c r="W3" s="13"/>
      <c r="X3" s="412"/>
      <c r="Y3" s="412"/>
      <c r="Z3" s="412"/>
      <c r="AA3" s="412"/>
      <c r="AB3" s="412"/>
      <c r="AC3" s="412"/>
      <c r="AD3" s="412"/>
      <c r="AE3" s="412"/>
      <c r="AF3" s="13"/>
      <c r="AG3" s="13"/>
    </row>
    <row r="4" spans="2:33" s="7" customFormat="1" ht="14.25" customHeight="1">
      <c r="B4" s="7" t="s">
        <v>119</v>
      </c>
      <c r="L4" s="8"/>
      <c r="M4" s="9"/>
      <c r="N4" s="9"/>
      <c r="O4" s="9"/>
      <c r="P4" s="14"/>
      <c r="Q4" s="14"/>
      <c r="R4" s="14"/>
      <c r="S4" s="14"/>
      <c r="T4" s="14"/>
      <c r="U4" s="15"/>
      <c r="V4" s="14"/>
      <c r="W4" s="16"/>
      <c r="X4" s="434"/>
      <c r="Y4" s="434"/>
      <c r="Z4" s="434"/>
      <c r="AA4" s="434"/>
      <c r="AB4" s="434"/>
      <c r="AC4" s="434"/>
      <c r="AD4" s="434"/>
      <c r="AE4" s="434"/>
      <c r="AF4" s="17"/>
      <c r="AG4" s="17"/>
    </row>
    <row r="5" spans="2:12" s="7" customFormat="1" ht="14.25" customHeight="1">
      <c r="B5" s="7" t="s">
        <v>2</v>
      </c>
      <c r="L5" s="8"/>
    </row>
    <row r="6" spans="2:12" s="7" customFormat="1" ht="14.25" customHeight="1">
      <c r="B6" s="7" t="s">
        <v>3</v>
      </c>
      <c r="L6" s="8"/>
    </row>
    <row r="7" ht="14.25" customHeight="1"/>
    <row r="8" spans="1:6" ht="21.75" customHeight="1">
      <c r="A8" s="19" t="s">
        <v>207</v>
      </c>
      <c r="F8" s="20"/>
    </row>
    <row r="9" spans="24:25" ht="11.25" customHeight="1">
      <c r="X9" s="21"/>
      <c r="Y9" s="22"/>
    </row>
    <row r="10" spans="1:4" ht="15" customHeight="1">
      <c r="A10" s="23" t="s">
        <v>121</v>
      </c>
      <c r="B10" s="24" t="s">
        <v>4</v>
      </c>
      <c r="C10" s="25" t="s">
        <v>5</v>
      </c>
      <c r="D10" s="25"/>
    </row>
    <row r="11" spans="1:4" ht="6" customHeight="1">
      <c r="A11" s="23"/>
      <c r="B11" s="26"/>
      <c r="C11" s="25"/>
      <c r="D11" s="25"/>
    </row>
    <row r="12" spans="1:9" ht="15" customHeight="1">
      <c r="A12" t="s">
        <v>175</v>
      </c>
      <c r="C12" s="27" t="s">
        <v>7</v>
      </c>
      <c r="D12" s="27"/>
      <c r="H12" s="30"/>
      <c r="I12" s="20"/>
    </row>
    <row r="13" spans="3:9" ht="15" customHeight="1">
      <c r="C13" s="28">
        <v>0.6</v>
      </c>
      <c r="D13" s="29">
        <f>1-C13</f>
        <v>0.4</v>
      </c>
      <c r="E13" s="20" t="s">
        <v>10</v>
      </c>
      <c r="H13" s="30"/>
      <c r="I13" s="20"/>
    </row>
    <row r="14" spans="3:8" ht="15" customHeight="1">
      <c r="C14" s="27" t="s">
        <v>11</v>
      </c>
      <c r="D14" s="27"/>
      <c r="H14" s="31"/>
    </row>
    <row r="15" spans="3:8" ht="15" customHeight="1">
      <c r="C15" s="28">
        <v>1</v>
      </c>
      <c r="D15" s="28">
        <v>1</v>
      </c>
      <c r="H15" s="31"/>
    </row>
    <row r="16" ht="10.5" customHeight="1"/>
    <row r="17" spans="1:13" ht="13.5">
      <c r="A17" t="s">
        <v>12</v>
      </c>
      <c r="C17" s="459"/>
      <c r="D17" s="447" t="s">
        <v>14</v>
      </c>
      <c r="E17" s="447" t="s">
        <v>15</v>
      </c>
      <c r="F17" s="437"/>
      <c r="G17" s="437"/>
      <c r="H17" s="437"/>
      <c r="I17" s="437"/>
      <c r="J17" s="437"/>
      <c r="K17" s="448"/>
      <c r="L17" s="32"/>
      <c r="M17" s="2"/>
    </row>
    <row r="18" spans="3:13" ht="15" customHeight="1">
      <c r="C18" s="460"/>
      <c r="D18" s="457"/>
      <c r="E18" s="441" t="s">
        <v>177</v>
      </c>
      <c r="F18" s="461" t="s">
        <v>18</v>
      </c>
      <c r="G18" s="462"/>
      <c r="H18" s="465" t="s">
        <v>19</v>
      </c>
      <c r="I18" s="466"/>
      <c r="J18" s="33"/>
      <c r="K18" s="449" t="s">
        <v>20</v>
      </c>
      <c r="L18" s="34"/>
      <c r="M18" s="2"/>
    </row>
    <row r="19" spans="3:13" ht="15.75" customHeight="1">
      <c r="C19" s="460"/>
      <c r="D19" s="458"/>
      <c r="E19" s="446"/>
      <c r="F19" s="463"/>
      <c r="G19" s="464"/>
      <c r="H19" s="467"/>
      <c r="I19" s="468"/>
      <c r="J19" s="35"/>
      <c r="K19" s="450"/>
      <c r="L19" s="34"/>
      <c r="M19" s="2"/>
    </row>
    <row r="20" spans="3:13" ht="22.5" customHeight="1" thickBot="1">
      <c r="C20" s="353"/>
      <c r="D20" s="37" t="s">
        <v>22</v>
      </c>
      <c r="E20" s="311" t="s">
        <v>176</v>
      </c>
      <c r="F20" s="40" t="s">
        <v>123</v>
      </c>
      <c r="G20" s="41" t="s">
        <v>24</v>
      </c>
      <c r="H20" s="42" t="s">
        <v>25</v>
      </c>
      <c r="I20" s="43" t="s">
        <v>168</v>
      </c>
      <c r="J20" s="44"/>
      <c r="K20" s="341" t="s">
        <v>26</v>
      </c>
      <c r="L20" s="34"/>
      <c r="M20" s="2"/>
    </row>
    <row r="21" spans="2:13" ht="17.25">
      <c r="B21" s="455" t="s">
        <v>27</v>
      </c>
      <c r="C21" s="364" t="s">
        <v>211</v>
      </c>
      <c r="D21" s="47">
        <v>7</v>
      </c>
      <c r="E21" s="48">
        <f>$C$13*D21/SUM($D$21:$D$22)</f>
        <v>0.4666666666666667</v>
      </c>
      <c r="F21" s="50">
        <f>MROUND(ROUNDDOWN($E21,3),0.005)</f>
        <v>0.465</v>
      </c>
      <c r="G21" s="51">
        <f>F21-E21</f>
        <v>-0.0016666666666666496</v>
      </c>
      <c r="H21" s="52">
        <f>I21-E21</f>
        <v>-0.0016666666666666496</v>
      </c>
      <c r="I21" s="50">
        <f>MROUND(E21,0.005)</f>
        <v>0.465</v>
      </c>
      <c r="J21" s="53"/>
      <c r="K21" s="342">
        <v>0.465</v>
      </c>
      <c r="L21" s="55"/>
      <c r="M21" s="2"/>
    </row>
    <row r="22" spans="2:13" ht="17.25">
      <c r="B22" s="456"/>
      <c r="C22" s="346" t="s">
        <v>174</v>
      </c>
      <c r="D22" s="57">
        <v>2</v>
      </c>
      <c r="E22" s="58">
        <f>$C$13*D22/SUM($D$21:$D$22)</f>
        <v>0.13333333333333333</v>
      </c>
      <c r="F22" s="60">
        <f>MROUND(ROUNDDOWN(E22,3),0.005)</f>
        <v>0.135</v>
      </c>
      <c r="G22" s="61">
        <f>F22-E22</f>
        <v>0.0016666666666666774</v>
      </c>
      <c r="H22" s="62">
        <f>I22-E22</f>
        <v>0.0016666666666666774</v>
      </c>
      <c r="I22" s="60">
        <f>MROUND(E22,0.005)</f>
        <v>0.135</v>
      </c>
      <c r="J22" s="53"/>
      <c r="K22" s="343">
        <v>0.135</v>
      </c>
      <c r="L22" s="55"/>
      <c r="M22" s="2"/>
    </row>
    <row r="23" spans="2:13" ht="17.25">
      <c r="B23" s="469" t="s">
        <v>29</v>
      </c>
      <c r="C23" s="470"/>
      <c r="D23" s="347" t="s">
        <v>206</v>
      </c>
      <c r="E23" s="348">
        <f>$D$13*C15/SUM($C$15:$D$15)</f>
        <v>0.2</v>
      </c>
      <c r="F23" s="349">
        <f>MROUND(ROUNDDOWN(E23,3),0.005)</f>
        <v>0.2</v>
      </c>
      <c r="G23" s="350">
        <f>F23-E23</f>
        <v>0</v>
      </c>
      <c r="H23" s="351">
        <f>I23-E23</f>
        <v>0</v>
      </c>
      <c r="I23" s="349">
        <f>MROUND(E23,0.005)</f>
        <v>0.2</v>
      </c>
      <c r="J23" s="53"/>
      <c r="K23" s="344">
        <v>0.2</v>
      </c>
      <c r="L23" s="55"/>
      <c r="M23" s="2"/>
    </row>
    <row r="24" spans="2:34" ht="18" thickBot="1">
      <c r="B24" s="469" t="s">
        <v>30</v>
      </c>
      <c r="C24" s="470"/>
      <c r="D24" s="347" t="s">
        <v>206</v>
      </c>
      <c r="E24" s="348">
        <f>$D$13*D15/SUM($C$15:$D$15)</f>
        <v>0.2</v>
      </c>
      <c r="F24" s="352">
        <f>MROUND(ROUNDDOWN(E24,3),0.005)</f>
        <v>0.2</v>
      </c>
      <c r="G24" s="350">
        <f>F24-E24</f>
        <v>0</v>
      </c>
      <c r="H24" s="351">
        <f>I24-E24</f>
        <v>0</v>
      </c>
      <c r="I24" s="352">
        <f>MROUND(E24,0.005)</f>
        <v>0.2</v>
      </c>
      <c r="J24" s="354"/>
      <c r="K24" s="345">
        <v>0.2</v>
      </c>
      <c r="L24" s="55"/>
      <c r="M24" s="2"/>
      <c r="AH24" s="310"/>
    </row>
    <row r="25" spans="4:13" s="18" customFormat="1" ht="14.25" customHeight="1">
      <c r="D25" s="94" t="s">
        <v>31</v>
      </c>
      <c r="E25" s="95">
        <f>SUM(E21:E24)</f>
        <v>1</v>
      </c>
      <c r="F25" s="96">
        <f>SUM(F21:F24)</f>
        <v>1</v>
      </c>
      <c r="G25" s="95"/>
      <c r="H25" s="95"/>
      <c r="I25" s="96">
        <f>SUM(I21:I24)</f>
        <v>1</v>
      </c>
      <c r="J25" s="97"/>
      <c r="K25" s="98">
        <f>SUM(K21:K24)</f>
        <v>1</v>
      </c>
      <c r="L25" s="97"/>
      <c r="M25" s="2"/>
    </row>
    <row r="26" spans="5:13" ht="56.25" customHeight="1">
      <c r="E26" s="99"/>
      <c r="K26" s="100"/>
      <c r="L26" s="101"/>
      <c r="M26" s="2"/>
    </row>
    <row r="27" ht="7.5" customHeight="1">
      <c r="M27" s="2"/>
    </row>
    <row r="28" spans="1:13" ht="14.25" customHeight="1">
      <c r="A28" s="23" t="s">
        <v>169</v>
      </c>
      <c r="B28" s="102" t="s">
        <v>32</v>
      </c>
      <c r="C28" s="103"/>
      <c r="D28" s="103"/>
      <c r="E28" s="103"/>
      <c r="F28" s="103"/>
      <c r="G28" s="103"/>
      <c r="H28" s="104"/>
      <c r="I28" s="103"/>
      <c r="J28" s="103"/>
      <c r="K28" s="103"/>
      <c r="L28" s="105"/>
      <c r="M28" s="2"/>
    </row>
    <row r="29" spans="2:13" ht="28.5" customHeight="1">
      <c r="B29" s="106" t="s">
        <v>170</v>
      </c>
      <c r="C29" s="427" t="s">
        <v>214</v>
      </c>
      <c r="D29" s="427"/>
      <c r="E29" s="427"/>
      <c r="F29" s="427"/>
      <c r="G29" s="427"/>
      <c r="H29" s="427"/>
      <c r="I29" s="427"/>
      <c r="J29" s="427"/>
      <c r="M29" s="2"/>
    </row>
    <row r="30" spans="2:13" ht="14.25" customHeight="1">
      <c r="B30" s="106" t="s">
        <v>171</v>
      </c>
      <c r="C30" t="s">
        <v>33</v>
      </c>
      <c r="M30" s="2"/>
    </row>
    <row r="31" spans="2:13" ht="14.25" customHeight="1">
      <c r="B31" s="108"/>
      <c r="D31" s="112" t="s">
        <v>34</v>
      </c>
      <c r="E31" s="110"/>
      <c r="F31" s="111" t="s">
        <v>204</v>
      </c>
      <c r="G31" s="20" t="s">
        <v>35</v>
      </c>
      <c r="M31" s="2"/>
    </row>
    <row r="32" spans="2:13" ht="14.25" customHeight="1">
      <c r="B32" s="108"/>
      <c r="D32" s="112" t="s">
        <v>36</v>
      </c>
      <c r="E32" s="110"/>
      <c r="F32" s="111">
        <v>0</v>
      </c>
      <c r="G32" s="20" t="s">
        <v>37</v>
      </c>
      <c r="M32" s="2"/>
    </row>
    <row r="33" spans="4:13" ht="14.25" customHeight="1">
      <c r="D33" s="112" t="s">
        <v>38</v>
      </c>
      <c r="E33" s="110"/>
      <c r="F33" s="111" t="s">
        <v>205</v>
      </c>
      <c r="G33" s="20" t="s">
        <v>39</v>
      </c>
      <c r="M33" s="2"/>
    </row>
    <row r="34" spans="1:13" s="103" customFormat="1" ht="14.25" customHeight="1">
      <c r="A34"/>
      <c r="B34" s="106" t="s">
        <v>130</v>
      </c>
      <c r="C34" s="107" t="s">
        <v>131</v>
      </c>
      <c r="D34"/>
      <c r="E34"/>
      <c r="F34"/>
      <c r="G34"/>
      <c r="H34"/>
      <c r="I34"/>
      <c r="J34"/>
      <c r="K34"/>
      <c r="L34" s="1"/>
      <c r="M34" s="113"/>
    </row>
    <row r="35" ht="14.25" customHeight="1">
      <c r="M35" s="2"/>
    </row>
    <row r="36" ht="14.25" customHeight="1">
      <c r="M36" s="2"/>
    </row>
    <row r="37" spans="2:13" ht="14.25" customHeight="1">
      <c r="B37" s="114" t="s">
        <v>40</v>
      </c>
      <c r="C37" s="7"/>
      <c r="D37" s="114" t="s">
        <v>41</v>
      </c>
      <c r="M37" s="2"/>
    </row>
    <row r="38" ht="5.25" customHeight="1" thickBot="1">
      <c r="M38" s="2"/>
    </row>
    <row r="39" spans="2:13" ht="14.25" customHeight="1" thickBot="1">
      <c r="B39" s="115">
        <f>1-D39</f>
        <v>0.3999999999999999</v>
      </c>
      <c r="C39" s="116" t="s">
        <v>132</v>
      </c>
      <c r="D39" s="115">
        <f>FLOOR(ROUNDDOWN(L50,2),0.05)</f>
        <v>0.6000000000000001</v>
      </c>
      <c r="M39" s="2"/>
    </row>
    <row r="40" ht="14.25" customHeight="1">
      <c r="M40" s="2"/>
    </row>
    <row r="41" ht="18" customHeight="1">
      <c r="M41" s="2"/>
    </row>
    <row r="42" spans="5:13" ht="14.25" customHeight="1" thickBot="1">
      <c r="E42" s="340"/>
      <c r="M42" s="2"/>
    </row>
    <row r="43" spans="1:12" ht="14.25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21"/>
      <c r="K43" s="117">
        <f>$K$79-MAX($L$79:$R$79)</f>
        <v>0</v>
      </c>
      <c r="L43" s="22" t="s">
        <v>42</v>
      </c>
    </row>
    <row r="44" spans="1:12" ht="6.75" customHeight="1" thickBot="1">
      <c r="A44" s="18"/>
      <c r="B44" s="18"/>
      <c r="C44" s="18"/>
      <c r="D44" s="18"/>
      <c r="E44" s="18"/>
      <c r="F44" s="18"/>
      <c r="G44" s="18"/>
      <c r="H44" s="18"/>
      <c r="I44" s="18"/>
      <c r="J44" s="21"/>
      <c r="K44" s="22"/>
      <c r="L44" s="18"/>
    </row>
    <row r="45" spans="1:20" ht="18" customHeight="1">
      <c r="A45" s="389" t="s">
        <v>43</v>
      </c>
      <c r="B45" s="390"/>
      <c r="C45" s="390"/>
      <c r="D45" s="390"/>
      <c r="E45" s="390" t="s">
        <v>44</v>
      </c>
      <c r="F45" s="118"/>
      <c r="G45" s="118"/>
      <c r="H45" s="119"/>
      <c r="I45" s="393" t="s">
        <v>45</v>
      </c>
      <c r="J45" s="394"/>
      <c r="K45" s="399" t="s">
        <v>46</v>
      </c>
      <c r="L45" s="402" t="s">
        <v>47</v>
      </c>
      <c r="M45" s="402"/>
      <c r="N45" s="402"/>
      <c r="O45" s="402"/>
      <c r="P45" s="402"/>
      <c r="Q45" s="402"/>
      <c r="R45" s="403"/>
      <c r="S45" s="121"/>
      <c r="T45" s="121"/>
    </row>
    <row r="46" spans="1:20" ht="14.25" customHeight="1">
      <c r="A46" s="391"/>
      <c r="B46" s="392"/>
      <c r="C46" s="392"/>
      <c r="D46" s="392"/>
      <c r="E46" s="392"/>
      <c r="F46" s="121"/>
      <c r="G46" s="121"/>
      <c r="H46" s="123"/>
      <c r="I46" s="395"/>
      <c r="J46" s="396"/>
      <c r="K46" s="400"/>
      <c r="L46" s="404" t="s">
        <v>48</v>
      </c>
      <c r="M46" s="404"/>
      <c r="N46" s="404"/>
      <c r="O46" s="404"/>
      <c r="P46" s="404"/>
      <c r="Q46" s="404"/>
      <c r="R46" s="405"/>
      <c r="S46" s="121"/>
      <c r="T46" s="121"/>
    </row>
    <row r="47" spans="1:20" ht="14.25" customHeight="1">
      <c r="A47" s="391"/>
      <c r="B47" s="392"/>
      <c r="C47" s="392"/>
      <c r="D47" s="392"/>
      <c r="E47" s="392"/>
      <c r="F47" s="121"/>
      <c r="G47" s="121"/>
      <c r="H47" s="123"/>
      <c r="I47" s="406"/>
      <c r="J47" s="419" t="s">
        <v>50</v>
      </c>
      <c r="K47" s="400"/>
      <c r="L47" s="404" t="s">
        <v>51</v>
      </c>
      <c r="M47" s="404"/>
      <c r="N47" s="404"/>
      <c r="O47" s="422" t="s">
        <v>52</v>
      </c>
      <c r="P47" s="404"/>
      <c r="Q47" s="423" t="s">
        <v>178</v>
      </c>
      <c r="R47" s="424"/>
      <c r="S47" s="121"/>
      <c r="T47" s="121"/>
    </row>
    <row r="48" spans="1:20" ht="14.25" customHeight="1">
      <c r="A48" s="391"/>
      <c r="B48" s="392"/>
      <c r="C48" s="392"/>
      <c r="D48" s="392"/>
      <c r="E48" s="392"/>
      <c r="F48" s="121"/>
      <c r="G48" s="121"/>
      <c r="H48" s="123"/>
      <c r="I48" s="407"/>
      <c r="J48" s="420"/>
      <c r="K48" s="401"/>
      <c r="L48" s="127" t="s">
        <v>53</v>
      </c>
      <c r="M48" s="129" t="s">
        <v>54</v>
      </c>
      <c r="N48" s="129" t="s">
        <v>55</v>
      </c>
      <c r="O48" s="129" t="s">
        <v>179</v>
      </c>
      <c r="P48" s="129" t="s">
        <v>55</v>
      </c>
      <c r="Q48" s="129" t="s">
        <v>178</v>
      </c>
      <c r="R48" s="130" t="s">
        <v>55</v>
      </c>
      <c r="S48" s="121"/>
      <c r="T48" s="121"/>
    </row>
    <row r="49" spans="1:20" ht="14.25" thickBot="1">
      <c r="A49" s="131"/>
      <c r="B49" s="132"/>
      <c r="C49" s="132"/>
      <c r="D49" s="133" t="s">
        <v>56</v>
      </c>
      <c r="E49" s="132" t="s">
        <v>57</v>
      </c>
      <c r="F49" s="132" t="s">
        <v>58</v>
      </c>
      <c r="G49" s="132" t="s">
        <v>58</v>
      </c>
      <c r="H49" s="134" t="s">
        <v>56</v>
      </c>
      <c r="I49" s="408"/>
      <c r="J49" s="421"/>
      <c r="K49" s="135" t="s">
        <v>180</v>
      </c>
      <c r="L49" s="136" t="s">
        <v>181</v>
      </c>
      <c r="M49" s="137" t="s">
        <v>182</v>
      </c>
      <c r="N49" s="137" t="s">
        <v>183</v>
      </c>
      <c r="O49" s="137" t="s">
        <v>184</v>
      </c>
      <c r="P49" s="137" t="s">
        <v>185</v>
      </c>
      <c r="Q49" s="137" t="s">
        <v>186</v>
      </c>
      <c r="R49" s="138" t="s">
        <v>187</v>
      </c>
      <c r="S49" s="121"/>
      <c r="T49" s="121"/>
    </row>
    <row r="50" spans="1:20" ht="13.5">
      <c r="A50" s="139"/>
      <c r="B50" s="140"/>
      <c r="C50" s="2" t="s">
        <v>59</v>
      </c>
      <c r="D50" s="141"/>
      <c r="E50" s="2"/>
      <c r="F50" s="2"/>
      <c r="G50" s="2"/>
      <c r="H50" s="119"/>
      <c r="I50" s="122"/>
      <c r="J50" s="121"/>
      <c r="K50" s="142">
        <f>1-L50</f>
        <v>0.38088737201365175</v>
      </c>
      <c r="L50" s="453">
        <v>0.6191126279863483</v>
      </c>
      <c r="M50" s="453"/>
      <c r="N50" s="453"/>
      <c r="O50" s="453"/>
      <c r="P50" s="453"/>
      <c r="Q50" s="453"/>
      <c r="R50" s="454"/>
      <c r="S50" s="143" t="s">
        <v>60</v>
      </c>
      <c r="T50" s="315"/>
    </row>
    <row r="51" spans="1:20" ht="14.25" thickBot="1">
      <c r="A51" s="139"/>
      <c r="B51" s="140"/>
      <c r="C51" s="2" t="s">
        <v>61</v>
      </c>
      <c r="D51" s="141"/>
      <c r="E51" s="2"/>
      <c r="F51" s="2"/>
      <c r="G51" s="2"/>
      <c r="H51" s="134"/>
      <c r="I51" s="122"/>
      <c r="J51" s="121"/>
      <c r="K51" s="144" t="s">
        <v>62</v>
      </c>
      <c r="L51" s="145">
        <f>K21</f>
        <v>0.465</v>
      </c>
      <c r="M51" s="146">
        <f>K22</f>
        <v>0.135</v>
      </c>
      <c r="N51" s="312">
        <v>0</v>
      </c>
      <c r="O51" s="146">
        <f>K23</f>
        <v>0.2</v>
      </c>
      <c r="P51" s="313">
        <v>0</v>
      </c>
      <c r="Q51" s="146">
        <f>K24</f>
        <v>0.2</v>
      </c>
      <c r="R51" s="314">
        <v>0</v>
      </c>
      <c r="S51" s="315" t="s">
        <v>172</v>
      </c>
      <c r="T51" s="355"/>
    </row>
    <row r="52" spans="1:20" ht="14.25" thickBot="1">
      <c r="A52" s="150" t="s">
        <v>173</v>
      </c>
      <c r="B52" s="151"/>
      <c r="C52" s="152" t="s">
        <v>63</v>
      </c>
      <c r="D52" s="153">
        <v>1</v>
      </c>
      <c r="E52" s="152" t="s">
        <v>64</v>
      </c>
      <c r="F52" s="152"/>
      <c r="G52" s="152"/>
      <c r="H52" s="154">
        <v>1</v>
      </c>
      <c r="I52" s="155"/>
      <c r="J52" s="155" t="s">
        <v>188</v>
      </c>
      <c r="K52" s="156">
        <f>H52*K50</f>
        <v>0.38088737201365175</v>
      </c>
      <c r="L52" s="193">
        <f>$H52*$L$50*$L$51</f>
        <v>0.28788737201365194</v>
      </c>
      <c r="M52" s="193">
        <f>$H52*$L$50*$M$51</f>
        <v>0.08358020477815702</v>
      </c>
      <c r="N52" s="316" t="s">
        <v>62</v>
      </c>
      <c r="O52" s="193">
        <f>$H52*$L$50*$O$51</f>
        <v>0.12382252559726965</v>
      </c>
      <c r="P52" s="316" t="s">
        <v>62</v>
      </c>
      <c r="Q52" s="193">
        <f>$H52*$L$50*$Q$51</f>
        <v>0.12382252559726965</v>
      </c>
      <c r="R52" s="317" t="s">
        <v>62</v>
      </c>
      <c r="S52" s="5">
        <f>SUM(K52:R52)</f>
        <v>1</v>
      </c>
      <c r="T52" s="160">
        <f>SUM(K52:R52)</f>
        <v>1</v>
      </c>
    </row>
    <row r="53" spans="1:20" ht="13.5">
      <c r="A53" s="168">
        <f>SUM(H52:H61)</f>
        <v>5</v>
      </c>
      <c r="B53" s="169" t="s">
        <v>189</v>
      </c>
      <c r="C53" s="161" t="s">
        <v>66</v>
      </c>
      <c r="D53" s="162">
        <v>2</v>
      </c>
      <c r="E53" s="161" t="s">
        <v>67</v>
      </c>
      <c r="F53" s="161" t="s">
        <v>68</v>
      </c>
      <c r="G53" s="161"/>
      <c r="H53" s="163">
        <v>0.5</v>
      </c>
      <c r="I53" s="164"/>
      <c r="J53" s="164" t="s">
        <v>190</v>
      </c>
      <c r="K53" s="384">
        <f>SUM(H53:H56)*K50</f>
        <v>0.7617747440273035</v>
      </c>
      <c r="L53" s="193">
        <f>$H53*$L$50*$L$51</f>
        <v>0.14394368600682597</v>
      </c>
      <c r="M53" s="193">
        <f>$H53*$L$50*$M$51</f>
        <v>0.04179010238907851</v>
      </c>
      <c r="N53" s="194" t="s">
        <v>62</v>
      </c>
      <c r="O53" s="193">
        <f aca="true" t="shared" si="0" ref="O53:O72">$H53*$L$50*$O$51</f>
        <v>0.06191126279863483</v>
      </c>
      <c r="P53" s="194" t="s">
        <v>62</v>
      </c>
      <c r="Q53" s="193">
        <f>$H53*$L$50*$Q$51</f>
        <v>0.06191126279863483</v>
      </c>
      <c r="R53" s="195" t="s">
        <v>62</v>
      </c>
      <c r="S53" s="5">
        <f>H53*$K$50+SUM(L53:R53)</f>
        <v>0.5</v>
      </c>
      <c r="T53" s="367">
        <f>SUM(K53:R56)</f>
        <v>2.0000000000000004</v>
      </c>
    </row>
    <row r="54" spans="1:20" ht="13.5">
      <c r="A54" s="318"/>
      <c r="B54" s="140"/>
      <c r="C54" s="170" t="s">
        <v>69</v>
      </c>
      <c r="D54" s="171"/>
      <c r="E54" s="172" t="s">
        <v>70</v>
      </c>
      <c r="F54" s="172" t="s">
        <v>71</v>
      </c>
      <c r="G54" s="172"/>
      <c r="H54" s="173">
        <v>0.5</v>
      </c>
      <c r="I54" s="174"/>
      <c r="J54" s="174" t="s">
        <v>73</v>
      </c>
      <c r="K54" s="368"/>
      <c r="L54" s="193">
        <f>$H54*$L$50*$L$51</f>
        <v>0.14394368600682597</v>
      </c>
      <c r="M54" s="193">
        <f>$H54*$L$50*$M$51</f>
        <v>0.04179010238907851</v>
      </c>
      <c r="N54" s="206" t="s">
        <v>62</v>
      </c>
      <c r="O54" s="193">
        <f t="shared" si="0"/>
        <v>0.06191126279863483</v>
      </c>
      <c r="P54" s="206" t="s">
        <v>62</v>
      </c>
      <c r="Q54" s="193">
        <f aca="true" t="shared" si="1" ref="Q54:Q72">$H54*$L$50*$Q$51</f>
        <v>0.06191126279863483</v>
      </c>
      <c r="R54" s="207" t="s">
        <v>62</v>
      </c>
      <c r="S54" s="5">
        <f aca="true" t="shared" si="2" ref="S54:S65">H54*$K$50+SUM(L54:R54)</f>
        <v>0.5</v>
      </c>
      <c r="T54" s="368"/>
    </row>
    <row r="55" spans="1:20" ht="21">
      <c r="A55" s="139"/>
      <c r="B55" s="140"/>
      <c r="C55" s="170"/>
      <c r="D55" s="171"/>
      <c r="E55" s="178" t="s">
        <v>75</v>
      </c>
      <c r="F55" s="178" t="s">
        <v>76</v>
      </c>
      <c r="G55" s="178"/>
      <c r="H55" s="173">
        <v>0.5</v>
      </c>
      <c r="I55" s="174"/>
      <c r="J55" s="174" t="s">
        <v>77</v>
      </c>
      <c r="K55" s="368"/>
      <c r="L55" s="193">
        <f>$H55*$L$50*$L$51</f>
        <v>0.14394368600682597</v>
      </c>
      <c r="M55" s="193">
        <f>$H55*$L$50*$M$51</f>
        <v>0.04179010238907851</v>
      </c>
      <c r="N55" s="206" t="s">
        <v>62</v>
      </c>
      <c r="O55" s="193">
        <f>$H55*$L$50*$O$51</f>
        <v>0.06191126279863483</v>
      </c>
      <c r="P55" s="206" t="s">
        <v>62</v>
      </c>
      <c r="Q55" s="193">
        <f t="shared" si="1"/>
        <v>0.06191126279863483</v>
      </c>
      <c r="R55" s="207" t="s">
        <v>62</v>
      </c>
      <c r="S55" s="5">
        <f t="shared" si="2"/>
        <v>0.5</v>
      </c>
      <c r="T55" s="368"/>
    </row>
    <row r="56" spans="1:20" ht="42.75" thickBot="1">
      <c r="A56" s="139"/>
      <c r="B56" s="208"/>
      <c r="C56" s="170"/>
      <c r="D56" s="171"/>
      <c r="E56" s="179" t="s">
        <v>79</v>
      </c>
      <c r="F56" s="179" t="s">
        <v>80</v>
      </c>
      <c r="G56" s="179"/>
      <c r="H56" s="173">
        <v>0.5</v>
      </c>
      <c r="I56" s="174"/>
      <c r="J56" s="174" t="s">
        <v>77</v>
      </c>
      <c r="K56" s="375"/>
      <c r="L56" s="193">
        <f>$H56*$L$50*$L$51</f>
        <v>0.14394368600682597</v>
      </c>
      <c r="M56" s="193">
        <f>$H56*$L$50*$M$51</f>
        <v>0.04179010238907851</v>
      </c>
      <c r="N56" s="206" t="s">
        <v>62</v>
      </c>
      <c r="O56" s="193">
        <f t="shared" si="0"/>
        <v>0.06191126279863483</v>
      </c>
      <c r="P56" s="206" t="s">
        <v>62</v>
      </c>
      <c r="Q56" s="193">
        <f t="shared" si="1"/>
        <v>0.06191126279863483</v>
      </c>
      <c r="R56" s="207" t="s">
        <v>62</v>
      </c>
      <c r="S56" s="5">
        <f t="shared" si="2"/>
        <v>0.5</v>
      </c>
      <c r="T56" s="369"/>
    </row>
    <row r="57" spans="1:20" ht="21.75" thickBot="1">
      <c r="A57" s="318"/>
      <c r="B57" s="140"/>
      <c r="C57" s="181"/>
      <c r="D57" s="182"/>
      <c r="E57" s="183"/>
      <c r="F57" s="183"/>
      <c r="G57" s="183"/>
      <c r="H57" s="184"/>
      <c r="I57" s="185"/>
      <c r="J57" s="183"/>
      <c r="K57" s="186"/>
      <c r="L57" s="193"/>
      <c r="M57" s="193"/>
      <c r="N57" s="319" t="s">
        <v>62</v>
      </c>
      <c r="O57" s="193">
        <f t="shared" si="0"/>
        <v>0</v>
      </c>
      <c r="P57" s="319" t="s">
        <v>62</v>
      </c>
      <c r="Q57" s="193">
        <f t="shared" si="1"/>
        <v>0</v>
      </c>
      <c r="R57" s="320" t="s">
        <v>62</v>
      </c>
      <c r="S57" s="190">
        <f>SUM(K57:R57)</f>
        <v>0</v>
      </c>
      <c r="T57" s="191" t="s">
        <v>81</v>
      </c>
    </row>
    <row r="58" spans="1:20" ht="13.5">
      <c r="A58" s="139"/>
      <c r="B58" s="140"/>
      <c r="C58" s="161" t="s">
        <v>82</v>
      </c>
      <c r="D58" s="162">
        <v>2</v>
      </c>
      <c r="E58" s="161" t="s">
        <v>83</v>
      </c>
      <c r="F58" s="161" t="s">
        <v>84</v>
      </c>
      <c r="G58" s="161"/>
      <c r="H58" s="192">
        <v>0.5</v>
      </c>
      <c r="I58" s="164"/>
      <c r="J58" s="164" t="s">
        <v>77</v>
      </c>
      <c r="K58" s="368">
        <f>SUM(H58:H61)*K50</f>
        <v>0.7617747440273035</v>
      </c>
      <c r="L58" s="193">
        <f aca="true" t="shared" si="3" ref="L58:L65">$H58*$L$50*$L$51</f>
        <v>0.14394368600682597</v>
      </c>
      <c r="M58" s="193">
        <f aca="true" t="shared" si="4" ref="M58:M65">$H58*$L$50*$M$51</f>
        <v>0.04179010238907851</v>
      </c>
      <c r="N58" s="194" t="s">
        <v>62</v>
      </c>
      <c r="O58" s="193">
        <f t="shared" si="0"/>
        <v>0.06191126279863483</v>
      </c>
      <c r="P58" s="194" t="s">
        <v>62</v>
      </c>
      <c r="Q58" s="193">
        <f t="shared" si="1"/>
        <v>0.06191126279863483</v>
      </c>
      <c r="R58" s="195" t="s">
        <v>62</v>
      </c>
      <c r="S58" s="5">
        <f t="shared" si="2"/>
        <v>0.5</v>
      </c>
      <c r="T58" s="367">
        <f>SUM(K58:R61)</f>
        <v>2.0000000000000004</v>
      </c>
    </row>
    <row r="59" spans="1:20" ht="13.5">
      <c r="A59" s="139"/>
      <c r="B59" s="140"/>
      <c r="C59" s="172" t="s">
        <v>85</v>
      </c>
      <c r="D59" s="196"/>
      <c r="E59" s="172" t="s">
        <v>70</v>
      </c>
      <c r="F59" s="172" t="s">
        <v>71</v>
      </c>
      <c r="G59" s="172"/>
      <c r="H59" s="173">
        <v>0.5</v>
      </c>
      <c r="I59" s="197"/>
      <c r="J59" s="197" t="s">
        <v>73</v>
      </c>
      <c r="K59" s="368"/>
      <c r="L59" s="193">
        <f t="shared" si="3"/>
        <v>0.14394368600682597</v>
      </c>
      <c r="M59" s="193">
        <f t="shared" si="4"/>
        <v>0.04179010238907851</v>
      </c>
      <c r="N59" s="194" t="s">
        <v>62</v>
      </c>
      <c r="O59" s="193">
        <f t="shared" si="0"/>
        <v>0.06191126279863483</v>
      </c>
      <c r="P59" s="194" t="s">
        <v>62</v>
      </c>
      <c r="Q59" s="193">
        <f t="shared" si="1"/>
        <v>0.06191126279863483</v>
      </c>
      <c r="R59" s="195" t="s">
        <v>62</v>
      </c>
      <c r="S59" s="5">
        <f t="shared" si="2"/>
        <v>0.5</v>
      </c>
      <c r="T59" s="368"/>
    </row>
    <row r="60" spans="1:20" ht="21">
      <c r="A60" s="139"/>
      <c r="B60" s="140"/>
      <c r="C60" s="172"/>
      <c r="D60" s="196"/>
      <c r="E60" s="178" t="s">
        <v>75</v>
      </c>
      <c r="F60" s="178" t="s">
        <v>76</v>
      </c>
      <c r="G60" s="178"/>
      <c r="H60" s="173">
        <v>0.5</v>
      </c>
      <c r="I60" s="197"/>
      <c r="J60" s="197" t="s">
        <v>77</v>
      </c>
      <c r="K60" s="368"/>
      <c r="L60" s="193">
        <f t="shared" si="3"/>
        <v>0.14394368600682597</v>
      </c>
      <c r="M60" s="193">
        <f t="shared" si="4"/>
        <v>0.04179010238907851</v>
      </c>
      <c r="N60" s="194" t="s">
        <v>62</v>
      </c>
      <c r="O60" s="193">
        <f t="shared" si="0"/>
        <v>0.06191126279863483</v>
      </c>
      <c r="P60" s="194" t="s">
        <v>62</v>
      </c>
      <c r="Q60" s="193">
        <f t="shared" si="1"/>
        <v>0.06191126279863483</v>
      </c>
      <c r="R60" s="195" t="s">
        <v>62</v>
      </c>
      <c r="S60" s="5">
        <f t="shared" si="2"/>
        <v>0.5</v>
      </c>
      <c r="T60" s="368"/>
    </row>
    <row r="61" spans="1:20" ht="42.75" thickBot="1">
      <c r="A61" s="198"/>
      <c r="B61" s="199"/>
      <c r="C61" s="200"/>
      <c r="D61" s="201"/>
      <c r="E61" s="202" t="s">
        <v>79</v>
      </c>
      <c r="F61" s="202" t="s">
        <v>80</v>
      </c>
      <c r="G61" s="202"/>
      <c r="H61" s="203">
        <v>0.5</v>
      </c>
      <c r="I61" s="204"/>
      <c r="J61" s="204" t="s">
        <v>77</v>
      </c>
      <c r="K61" s="385"/>
      <c r="L61" s="193">
        <f t="shared" si="3"/>
        <v>0.14394368600682597</v>
      </c>
      <c r="M61" s="193">
        <f t="shared" si="4"/>
        <v>0.04179010238907851</v>
      </c>
      <c r="N61" s="321" t="s">
        <v>62</v>
      </c>
      <c r="O61" s="193">
        <f t="shared" si="0"/>
        <v>0.06191126279863483</v>
      </c>
      <c r="P61" s="321" t="s">
        <v>62</v>
      </c>
      <c r="Q61" s="193">
        <f t="shared" si="1"/>
        <v>0.06191126279863483</v>
      </c>
      <c r="R61" s="322" t="s">
        <v>62</v>
      </c>
      <c r="S61" s="5">
        <f t="shared" si="2"/>
        <v>0.5</v>
      </c>
      <c r="T61" s="369"/>
    </row>
    <row r="62" spans="1:20" ht="13.5">
      <c r="A62" s="139" t="s">
        <v>191</v>
      </c>
      <c r="B62" s="208"/>
      <c r="C62" s="209" t="s">
        <v>87</v>
      </c>
      <c r="D62" s="210">
        <v>4</v>
      </c>
      <c r="E62" s="211" t="s">
        <v>88</v>
      </c>
      <c r="F62" s="211" t="s">
        <v>89</v>
      </c>
      <c r="G62" s="211"/>
      <c r="H62" s="192">
        <v>2</v>
      </c>
      <c r="I62" s="212"/>
      <c r="J62" s="212" t="s">
        <v>77</v>
      </c>
      <c r="K62" s="377">
        <f>SUM(H62:H63)*K50</f>
        <v>1.523549488054607</v>
      </c>
      <c r="L62" s="193">
        <f t="shared" si="3"/>
        <v>0.5757747440273039</v>
      </c>
      <c r="M62" s="193">
        <f t="shared" si="4"/>
        <v>0.16716040955631403</v>
      </c>
      <c r="N62" s="323" t="s">
        <v>62</v>
      </c>
      <c r="O62" s="193">
        <f t="shared" si="0"/>
        <v>0.2476450511945393</v>
      </c>
      <c r="P62" s="323" t="s">
        <v>62</v>
      </c>
      <c r="Q62" s="193">
        <f t="shared" si="1"/>
        <v>0.2476450511945393</v>
      </c>
      <c r="R62" s="324" t="s">
        <v>62</v>
      </c>
      <c r="S62" s="5">
        <f t="shared" si="2"/>
        <v>2</v>
      </c>
      <c r="T62" s="367">
        <f>SUM(K62:R63)</f>
        <v>3.9999999999999996</v>
      </c>
    </row>
    <row r="63" spans="1:20" ht="21.75" thickBot="1">
      <c r="A63" s="168">
        <f>SUM(H62:H65)+SUM(H67:H68)</f>
        <v>9</v>
      </c>
      <c r="B63" s="169" t="s">
        <v>192</v>
      </c>
      <c r="C63" s="209" t="s">
        <v>193</v>
      </c>
      <c r="D63" s="210"/>
      <c r="E63" s="325" t="s">
        <v>90</v>
      </c>
      <c r="F63" s="325" t="s">
        <v>89</v>
      </c>
      <c r="G63" s="325" t="s">
        <v>91</v>
      </c>
      <c r="H63" s="173">
        <v>2</v>
      </c>
      <c r="I63" s="212"/>
      <c r="J63" s="212" t="s">
        <v>194</v>
      </c>
      <c r="K63" s="375"/>
      <c r="L63" s="193">
        <f t="shared" si="3"/>
        <v>0.5757747440273039</v>
      </c>
      <c r="M63" s="193">
        <f t="shared" si="4"/>
        <v>0.16716040955631403</v>
      </c>
      <c r="N63" s="176" t="s">
        <v>62</v>
      </c>
      <c r="O63" s="193">
        <f t="shared" si="0"/>
        <v>0.2476450511945393</v>
      </c>
      <c r="P63" s="176" t="s">
        <v>62</v>
      </c>
      <c r="Q63" s="193">
        <f t="shared" si="1"/>
        <v>0.2476450511945393</v>
      </c>
      <c r="R63" s="177" t="s">
        <v>62</v>
      </c>
      <c r="S63" s="5">
        <f t="shared" si="2"/>
        <v>2</v>
      </c>
      <c r="T63" s="369"/>
    </row>
    <row r="64" spans="1:20" ht="31.5">
      <c r="A64" s="318"/>
      <c r="B64" s="140"/>
      <c r="C64" s="226" t="s">
        <v>92</v>
      </c>
      <c r="D64" s="227">
        <v>2</v>
      </c>
      <c r="E64" s="170" t="s">
        <v>93</v>
      </c>
      <c r="F64" s="170" t="s">
        <v>94</v>
      </c>
      <c r="G64" s="170"/>
      <c r="H64" s="173">
        <v>1</v>
      </c>
      <c r="I64" s="228"/>
      <c r="J64" s="228" t="s">
        <v>195</v>
      </c>
      <c r="K64" s="368">
        <f>SUM(H64:H65)*K50</f>
        <v>0.7617747440273035</v>
      </c>
      <c r="L64" s="193">
        <f t="shared" si="3"/>
        <v>0.28788737201365194</v>
      </c>
      <c r="M64" s="193">
        <f t="shared" si="4"/>
        <v>0.08358020477815702</v>
      </c>
      <c r="N64" s="194" t="s">
        <v>62</v>
      </c>
      <c r="O64" s="193">
        <f t="shared" si="0"/>
        <v>0.12382252559726965</v>
      </c>
      <c r="P64" s="194" t="s">
        <v>62</v>
      </c>
      <c r="Q64" s="193">
        <f t="shared" si="1"/>
        <v>0.12382252559726965</v>
      </c>
      <c r="R64" s="195" t="s">
        <v>62</v>
      </c>
      <c r="S64" s="5">
        <f t="shared" si="2"/>
        <v>1</v>
      </c>
      <c r="T64" s="368">
        <f>SUM(K64:R65)</f>
        <v>1.9999999999999998</v>
      </c>
    </row>
    <row r="65" spans="1:20" ht="21.75" thickBot="1">
      <c r="A65" s="139"/>
      <c r="B65" s="140"/>
      <c r="C65" s="229"/>
      <c r="D65" s="230"/>
      <c r="E65" s="179" t="s">
        <v>95</v>
      </c>
      <c r="F65" s="179" t="s">
        <v>94</v>
      </c>
      <c r="G65" s="179" t="s">
        <v>96</v>
      </c>
      <c r="H65" s="173">
        <v>1</v>
      </c>
      <c r="I65" s="231"/>
      <c r="J65" s="231" t="s">
        <v>196</v>
      </c>
      <c r="K65" s="375"/>
      <c r="L65" s="193">
        <f t="shared" si="3"/>
        <v>0.28788737201365194</v>
      </c>
      <c r="M65" s="193">
        <f t="shared" si="4"/>
        <v>0.08358020477815702</v>
      </c>
      <c r="N65" s="194" t="s">
        <v>62</v>
      </c>
      <c r="O65" s="193">
        <f t="shared" si="0"/>
        <v>0.12382252559726965</v>
      </c>
      <c r="P65" s="194" t="s">
        <v>62</v>
      </c>
      <c r="Q65" s="193">
        <f t="shared" si="1"/>
        <v>0.12382252559726965</v>
      </c>
      <c r="R65" s="195" t="s">
        <v>62</v>
      </c>
      <c r="S65" s="5">
        <f t="shared" si="2"/>
        <v>1</v>
      </c>
      <c r="T65" s="369"/>
    </row>
    <row r="66" spans="1:20" ht="14.25" thickBot="1">
      <c r="A66" s="139"/>
      <c r="B66" s="208"/>
      <c r="C66" s="170"/>
      <c r="D66" s="230"/>
      <c r="E66" s="232"/>
      <c r="F66" s="232"/>
      <c r="G66" s="232"/>
      <c r="H66" s="233"/>
      <c r="I66" s="234"/>
      <c r="J66" s="234"/>
      <c r="K66" s="235"/>
      <c r="L66" s="193"/>
      <c r="M66" s="193"/>
      <c r="N66" s="327"/>
      <c r="O66" s="193"/>
      <c r="P66" s="327"/>
      <c r="Q66" s="193"/>
      <c r="R66" s="328"/>
      <c r="S66" s="5"/>
      <c r="T66" s="239"/>
    </row>
    <row r="67" spans="1:20" ht="42">
      <c r="A67" s="318"/>
      <c r="B67" s="140"/>
      <c r="C67" s="179" t="s">
        <v>98</v>
      </c>
      <c r="D67" s="230">
        <v>4</v>
      </c>
      <c r="E67" s="178" t="s">
        <v>99</v>
      </c>
      <c r="F67" s="178" t="s">
        <v>94</v>
      </c>
      <c r="G67" s="178"/>
      <c r="H67" s="173">
        <v>1.5</v>
      </c>
      <c r="I67" s="231"/>
      <c r="J67" s="231" t="s">
        <v>195</v>
      </c>
      <c r="K67" s="376" t="s">
        <v>209</v>
      </c>
      <c r="L67" s="193">
        <f>$H67*$L$51</f>
        <v>0.6975</v>
      </c>
      <c r="M67" s="193">
        <f>$H67*$M$51</f>
        <v>0.2025</v>
      </c>
      <c r="N67" s="176" t="s">
        <v>62</v>
      </c>
      <c r="O67" s="193">
        <f>$H67*$O$51</f>
        <v>0.30000000000000004</v>
      </c>
      <c r="P67" s="176" t="s">
        <v>62</v>
      </c>
      <c r="Q67" s="193">
        <f>$H67*$Q$51</f>
        <v>0.30000000000000004</v>
      </c>
      <c r="R67" s="177" t="s">
        <v>62</v>
      </c>
      <c r="S67" s="5">
        <f>SUM(L67:R67)</f>
        <v>1.5000000000000002</v>
      </c>
      <c r="T67" s="367">
        <f>SUM(K67:R69)</f>
        <v>3</v>
      </c>
    </row>
    <row r="68" spans="1:20" ht="21">
      <c r="A68" s="139"/>
      <c r="B68" s="140"/>
      <c r="C68" s="170"/>
      <c r="D68" s="230"/>
      <c r="E68" s="178" t="s">
        <v>100</v>
      </c>
      <c r="F68" s="178" t="s">
        <v>94</v>
      </c>
      <c r="G68" s="178"/>
      <c r="H68" s="173">
        <v>1.5</v>
      </c>
      <c r="I68" s="228"/>
      <c r="J68" s="228" t="s">
        <v>195</v>
      </c>
      <c r="K68" s="368"/>
      <c r="L68" s="193">
        <f>$H68*$L$51</f>
        <v>0.6975</v>
      </c>
      <c r="M68" s="193">
        <f>$H68*$M$51</f>
        <v>0.2025</v>
      </c>
      <c r="N68" s="176" t="s">
        <v>62</v>
      </c>
      <c r="O68" s="193">
        <f>$H68*$O$51</f>
        <v>0.30000000000000004</v>
      </c>
      <c r="P68" s="176" t="s">
        <v>62</v>
      </c>
      <c r="Q68" s="193">
        <f>$H68*$Q$51</f>
        <v>0.30000000000000004</v>
      </c>
      <c r="R68" s="177" t="s">
        <v>62</v>
      </c>
      <c r="S68" s="5">
        <f>SUM(L68:R68)</f>
        <v>1.5000000000000002</v>
      </c>
      <c r="T68" s="368"/>
    </row>
    <row r="69" spans="1:20" ht="14.25" thickBot="1">
      <c r="A69" s="139"/>
      <c r="B69" s="140"/>
      <c r="C69" s="170"/>
      <c r="D69" s="230"/>
      <c r="E69" s="170"/>
      <c r="F69" s="170"/>
      <c r="G69" s="170"/>
      <c r="H69" s="173"/>
      <c r="I69" s="228"/>
      <c r="J69" s="228"/>
      <c r="K69" s="375"/>
      <c r="L69" s="193"/>
      <c r="M69" s="193"/>
      <c r="N69" s="176"/>
      <c r="O69" s="193"/>
      <c r="P69" s="176"/>
      <c r="Q69" s="193"/>
      <c r="R69" s="177"/>
      <c r="S69" s="5"/>
      <c r="T69" s="369"/>
    </row>
    <row r="70" spans="1:20" ht="13.5">
      <c r="A70" s="139"/>
      <c r="B70" s="140"/>
      <c r="C70" s="172"/>
      <c r="D70" s="241"/>
      <c r="E70" s="242"/>
      <c r="F70" s="242"/>
      <c r="G70" s="242"/>
      <c r="H70" s="233"/>
      <c r="I70" s="243"/>
      <c r="J70" s="243"/>
      <c r="K70" s="235"/>
      <c r="L70" s="193"/>
      <c r="M70" s="193"/>
      <c r="N70" s="237"/>
      <c r="O70" s="193"/>
      <c r="P70" s="237"/>
      <c r="Q70" s="193"/>
      <c r="R70" s="238"/>
      <c r="S70" s="5"/>
      <c r="T70" s="370"/>
    </row>
    <row r="71" spans="1:20" ht="14.25" thickBot="1">
      <c r="A71" s="198"/>
      <c r="B71" s="199"/>
      <c r="C71" s="200"/>
      <c r="D71" s="244"/>
      <c r="E71" s="245"/>
      <c r="F71" s="245"/>
      <c r="G71" s="245"/>
      <c r="H71" s="246"/>
      <c r="I71" s="247"/>
      <c r="J71" s="247"/>
      <c r="K71" s="248"/>
      <c r="L71" s="193"/>
      <c r="M71" s="193"/>
      <c r="N71" s="250"/>
      <c r="O71" s="193"/>
      <c r="P71" s="250"/>
      <c r="Q71" s="193"/>
      <c r="R71" s="251"/>
      <c r="S71" s="5"/>
      <c r="T71" s="371"/>
    </row>
    <row r="72" spans="1:20" ht="13.5">
      <c r="A72" s="139" t="s">
        <v>105</v>
      </c>
      <c r="B72" s="208"/>
      <c r="C72" s="209" t="s">
        <v>106</v>
      </c>
      <c r="D72" s="210">
        <v>8</v>
      </c>
      <c r="E72" s="161" t="s">
        <v>88</v>
      </c>
      <c r="F72" s="161" t="s">
        <v>89</v>
      </c>
      <c r="G72" s="161"/>
      <c r="H72" s="192">
        <v>4</v>
      </c>
      <c r="I72" s="212"/>
      <c r="J72" s="212" t="s">
        <v>77</v>
      </c>
      <c r="K72" s="180">
        <f>H72*K50</f>
        <v>1.523549488054607</v>
      </c>
      <c r="L72" s="193">
        <f>$H72*$L$50*$L$51</f>
        <v>1.1515494880546078</v>
      </c>
      <c r="M72" s="193">
        <f>$H72*$L$50*$M$51</f>
        <v>0.33432081911262806</v>
      </c>
      <c r="N72" s="194" t="s">
        <v>62</v>
      </c>
      <c r="O72" s="193">
        <f t="shared" si="0"/>
        <v>0.4952901023890786</v>
      </c>
      <c r="P72" s="194" t="s">
        <v>62</v>
      </c>
      <c r="Q72" s="193">
        <f t="shared" si="1"/>
        <v>0.4952901023890786</v>
      </c>
      <c r="R72" s="195" t="s">
        <v>62</v>
      </c>
      <c r="S72" s="5">
        <f>H72*$K$50+SUM(L72:R72)</f>
        <v>4</v>
      </c>
      <c r="T72" s="368">
        <f>SUM(K72:R73)</f>
        <v>4</v>
      </c>
    </row>
    <row r="73" spans="1:20" ht="14.25" thickBot="1">
      <c r="A73" s="168">
        <f>SUM(H72:H73)</f>
        <v>4</v>
      </c>
      <c r="B73" s="169" t="s">
        <v>197</v>
      </c>
      <c r="C73" s="209"/>
      <c r="D73" s="210"/>
      <c r="E73" s="161"/>
      <c r="F73" s="161"/>
      <c r="G73" s="161"/>
      <c r="H73" s="192"/>
      <c r="I73" s="212"/>
      <c r="J73" s="212"/>
      <c r="K73" s="180"/>
      <c r="L73" s="193"/>
      <c r="M73" s="194"/>
      <c r="N73" s="194"/>
      <c r="O73" s="194"/>
      <c r="P73" s="194"/>
      <c r="Q73" s="194"/>
      <c r="R73" s="195"/>
      <c r="S73" s="5"/>
      <c r="T73" s="369"/>
    </row>
    <row r="74" spans="1:20" ht="13.5">
      <c r="A74" s="318"/>
      <c r="B74" s="140"/>
      <c r="C74" s="253"/>
      <c r="D74" s="241"/>
      <c r="E74" s="254"/>
      <c r="F74" s="254"/>
      <c r="G74" s="254"/>
      <c r="H74" s="233"/>
      <c r="I74" s="243"/>
      <c r="J74" s="243"/>
      <c r="K74" s="372"/>
      <c r="L74" s="326"/>
      <c r="M74" s="329"/>
      <c r="N74" s="237"/>
      <c r="O74" s="329"/>
      <c r="P74" s="237"/>
      <c r="Q74" s="329"/>
      <c r="R74" s="238"/>
      <c r="S74" s="5"/>
      <c r="T74" s="370"/>
    </row>
    <row r="75" spans="1:20" ht="14.25" thickBot="1">
      <c r="A75" s="330"/>
      <c r="B75" s="331"/>
      <c r="C75" s="229"/>
      <c r="D75" s="255"/>
      <c r="E75" s="256"/>
      <c r="F75" s="256"/>
      <c r="G75" s="256"/>
      <c r="H75" s="233"/>
      <c r="I75" s="234"/>
      <c r="J75" s="234"/>
      <c r="K75" s="373"/>
      <c r="L75" s="326"/>
      <c r="M75" s="329"/>
      <c r="N75" s="327"/>
      <c r="O75" s="329"/>
      <c r="P75" s="237"/>
      <c r="Q75" s="329"/>
      <c r="R75" s="238"/>
      <c r="S75" s="5"/>
      <c r="T75" s="374"/>
    </row>
    <row r="76" spans="1:20" ht="13.5">
      <c r="A76" s="139"/>
      <c r="B76" s="208"/>
      <c r="C76" s="229"/>
      <c r="D76" s="255"/>
      <c r="E76" s="179"/>
      <c r="F76" s="179"/>
      <c r="G76" s="179"/>
      <c r="H76" s="257"/>
      <c r="I76" s="231"/>
      <c r="J76" s="231"/>
      <c r="K76" s="240"/>
      <c r="L76" s="332"/>
      <c r="M76" s="333"/>
      <c r="N76" s="333"/>
      <c r="O76" s="333"/>
      <c r="P76" s="206"/>
      <c r="Q76" s="334"/>
      <c r="R76" s="335"/>
      <c r="S76" s="5"/>
      <c r="T76" s="5"/>
    </row>
    <row r="77" spans="1:20" ht="14.25" thickBot="1">
      <c r="A77" s="318"/>
      <c r="B77" s="140"/>
      <c r="C77" s="229"/>
      <c r="D77" s="255"/>
      <c r="E77" s="179"/>
      <c r="F77" s="179"/>
      <c r="G77" s="179"/>
      <c r="H77" s="257"/>
      <c r="I77" s="231"/>
      <c r="J77" s="231"/>
      <c r="K77" s="240"/>
      <c r="L77" s="336"/>
      <c r="M77" s="337"/>
      <c r="N77" s="337"/>
      <c r="O77" s="337"/>
      <c r="P77" s="260"/>
      <c r="Q77" s="338"/>
      <c r="R77" s="339"/>
      <c r="S77" s="5"/>
      <c r="T77" s="5"/>
    </row>
    <row r="78" spans="1:20" ht="13.5">
      <c r="A78" s="150" t="s">
        <v>111</v>
      </c>
      <c r="B78" s="262"/>
      <c r="C78" s="263" t="s">
        <v>112</v>
      </c>
      <c r="D78" s="264"/>
      <c r="E78" s="265"/>
      <c r="F78" s="265"/>
      <c r="G78" s="265"/>
      <c r="H78" s="266" t="s">
        <v>198</v>
      </c>
      <c r="I78" s="267"/>
      <c r="J78" s="120"/>
      <c r="K78" s="268"/>
      <c r="L78" s="269"/>
      <c r="M78" s="270"/>
      <c r="N78" s="270"/>
      <c r="O78" s="270"/>
      <c r="P78" s="270"/>
      <c r="Q78" s="270"/>
      <c r="R78" s="271"/>
      <c r="S78" s="5"/>
      <c r="T78" s="5"/>
    </row>
    <row r="79" spans="1:20" ht="13.5">
      <c r="A79" s="139"/>
      <c r="B79" s="2"/>
      <c r="C79" s="272" t="s">
        <v>113</v>
      </c>
      <c r="D79" s="273"/>
      <c r="E79" s="274"/>
      <c r="F79" s="274"/>
      <c r="G79" s="274"/>
      <c r="H79" s="275" t="s">
        <v>199</v>
      </c>
      <c r="I79" s="276"/>
      <c r="J79" s="124"/>
      <c r="K79" s="277">
        <f>SUM(K52:K56)+SUM(K58:K61)+SUM(K62:K75)</f>
        <v>5.713310580204776</v>
      </c>
      <c r="L79" s="278">
        <f aca="true" t="shared" si="5" ref="L79:Q79">SUM(L52:L56,L58:L61,L62:L75)</f>
        <v>5.713310580204778</v>
      </c>
      <c r="M79" s="279">
        <f t="shared" si="5"/>
        <v>1.6587030716723554</v>
      </c>
      <c r="N79" s="279"/>
      <c r="O79" s="279">
        <f t="shared" si="5"/>
        <v>2.457337883959045</v>
      </c>
      <c r="P79" s="279"/>
      <c r="Q79" s="279">
        <f t="shared" si="5"/>
        <v>2.457337883959045</v>
      </c>
      <c r="R79" s="280"/>
      <c r="S79" s="5"/>
      <c r="T79" s="5"/>
    </row>
    <row r="80" spans="1:20" ht="14.25" thickBot="1">
      <c r="A80" s="139"/>
      <c r="B80" s="2"/>
      <c r="C80" s="281" t="s">
        <v>114</v>
      </c>
      <c r="D80" s="282"/>
      <c r="E80" s="283"/>
      <c r="F80" s="283"/>
      <c r="G80" s="283"/>
      <c r="H80" s="284" t="s">
        <v>200</v>
      </c>
      <c r="I80" s="285"/>
      <c r="J80" s="286"/>
      <c r="K80" s="287"/>
      <c r="L80" s="288"/>
      <c r="M80" s="289"/>
      <c r="N80" s="289"/>
      <c r="O80" s="289"/>
      <c r="P80" s="289"/>
      <c r="Q80" s="289"/>
      <c r="R80" s="290"/>
      <c r="S80" s="5"/>
      <c r="T80" s="5"/>
    </row>
    <row r="81" spans="1:20" ht="13.5">
      <c r="A81" s="139"/>
      <c r="B81" s="2"/>
      <c r="C81" s="291" t="s">
        <v>115</v>
      </c>
      <c r="D81" s="292"/>
      <c r="E81" s="293"/>
      <c r="F81" s="293"/>
      <c r="G81" s="293"/>
      <c r="H81" s="76" t="s">
        <v>201</v>
      </c>
      <c r="I81" s="294"/>
      <c r="J81" s="295"/>
      <c r="K81" s="380"/>
      <c r="L81" s="381"/>
      <c r="M81" s="381"/>
      <c r="N81" s="381"/>
      <c r="O81" s="381"/>
      <c r="P81" s="381"/>
      <c r="Q81" s="381"/>
      <c r="R81" s="382"/>
      <c r="S81" s="5"/>
      <c r="T81" s="5"/>
    </row>
    <row r="82" spans="1:20" ht="13.5">
      <c r="A82" s="139"/>
      <c r="B82" s="2"/>
      <c r="C82" s="451" t="s">
        <v>116</v>
      </c>
      <c r="D82" s="297"/>
      <c r="E82" s="3"/>
      <c r="F82" s="3"/>
      <c r="G82" s="3"/>
      <c r="H82" s="397" t="s">
        <v>202</v>
      </c>
      <c r="I82" s="298"/>
      <c r="J82" s="5"/>
      <c r="K82" s="413">
        <f>SUM(K79:R79)</f>
        <v>18</v>
      </c>
      <c r="L82" s="414"/>
      <c r="M82" s="414"/>
      <c r="N82" s="414"/>
      <c r="O82" s="414"/>
      <c r="P82" s="414"/>
      <c r="Q82" s="414"/>
      <c r="R82" s="415"/>
      <c r="S82" s="5"/>
      <c r="T82" s="5"/>
    </row>
    <row r="83" spans="1:20" ht="42">
      <c r="A83" s="139"/>
      <c r="B83" s="2"/>
      <c r="C83" s="452"/>
      <c r="D83" s="300">
        <f>A53+A63+A73</f>
        <v>18</v>
      </c>
      <c r="E83" s="301" t="s">
        <v>117</v>
      </c>
      <c r="F83" s="293"/>
      <c r="G83" s="293"/>
      <c r="H83" s="398"/>
      <c r="I83" s="294"/>
      <c r="J83" s="295"/>
      <c r="K83" s="416"/>
      <c r="L83" s="417"/>
      <c r="M83" s="417"/>
      <c r="N83" s="417"/>
      <c r="O83" s="417"/>
      <c r="P83" s="417"/>
      <c r="Q83" s="417"/>
      <c r="R83" s="418"/>
      <c r="S83" s="5"/>
      <c r="T83" s="5"/>
    </row>
    <row r="84" spans="1:20" ht="14.25" thickBot="1">
      <c r="A84" s="302"/>
      <c r="B84" s="303"/>
      <c r="C84" s="304" t="s">
        <v>118</v>
      </c>
      <c r="D84" s="305"/>
      <c r="E84" s="305"/>
      <c r="F84" s="305"/>
      <c r="G84" s="305"/>
      <c r="H84" s="306" t="s">
        <v>203</v>
      </c>
      <c r="I84" s="307"/>
      <c r="J84" s="308"/>
      <c r="K84" s="386"/>
      <c r="L84" s="387"/>
      <c r="M84" s="387"/>
      <c r="N84" s="387"/>
      <c r="O84" s="387"/>
      <c r="P84" s="387"/>
      <c r="Q84" s="387"/>
      <c r="R84" s="388"/>
      <c r="S84" s="309"/>
      <c r="T84" s="309"/>
    </row>
  </sheetData>
  <sheetProtection/>
  <mergeCells count="47">
    <mergeCell ref="I45:J46"/>
    <mergeCell ref="D17:D19"/>
    <mergeCell ref="C17:C19"/>
    <mergeCell ref="F18:G19"/>
    <mergeCell ref="H18:I19"/>
    <mergeCell ref="B23:C23"/>
    <mergeCell ref="B24:C24"/>
    <mergeCell ref="B21:B22"/>
    <mergeCell ref="L45:R45"/>
    <mergeCell ref="L46:R46"/>
    <mergeCell ref="L47:N47"/>
    <mergeCell ref="O47:P47"/>
    <mergeCell ref="Q47:R47"/>
    <mergeCell ref="K45:K48"/>
    <mergeCell ref="C29:J29"/>
    <mergeCell ref="A45:D48"/>
    <mergeCell ref="E45:E48"/>
    <mergeCell ref="L50:R50"/>
    <mergeCell ref="K84:R84"/>
    <mergeCell ref="K74:K75"/>
    <mergeCell ref="T67:T69"/>
    <mergeCell ref="T70:T71"/>
    <mergeCell ref="T72:T73"/>
    <mergeCell ref="K62:K63"/>
    <mergeCell ref="T62:T63"/>
    <mergeCell ref="K64:K65"/>
    <mergeCell ref="T64:T65"/>
    <mergeCell ref="K67:K69"/>
    <mergeCell ref="K18:K19"/>
    <mergeCell ref="T74:T75"/>
    <mergeCell ref="K81:R81"/>
    <mergeCell ref="C82:C83"/>
    <mergeCell ref="H82:H83"/>
    <mergeCell ref="K82:R83"/>
    <mergeCell ref="T53:T56"/>
    <mergeCell ref="K58:K61"/>
    <mergeCell ref="T58:T61"/>
    <mergeCell ref="X1:AE1"/>
    <mergeCell ref="P2:P3"/>
    <mergeCell ref="U2:U3"/>
    <mergeCell ref="X2:AE3"/>
    <mergeCell ref="E18:E19"/>
    <mergeCell ref="K53:K56"/>
    <mergeCell ref="I47:I49"/>
    <mergeCell ref="J47:J49"/>
    <mergeCell ref="X4:AE4"/>
    <mergeCell ref="E17:K17"/>
  </mergeCells>
  <printOptions/>
  <pageMargins left="0.787" right="0.787" top="0.984" bottom="0.56" header="0.512" footer="0.4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2008-03-06T04:34:44Z</dcterms:created>
  <dcterms:modified xsi:type="dcterms:W3CDTF">2012-07-24T12:46:59Z</dcterms:modified>
  <cp:category/>
  <cp:version/>
  <cp:contentType/>
  <cp:contentStatus/>
</cp:coreProperties>
</file>