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jfe102525\Box\02_アクアプラント_04_技術部\02_アクアプラント_04_技術部_03_焼却チーム管理\00共通\01開発\R1松山B-DASH\導入効果試算シート\"/>
    </mc:Choice>
  </mc:AlternateContent>
  <xr:revisionPtr revIDLastSave="0" documentId="13_ncr:1_{785023B4-8256-49D2-872D-3E6C9DFA0ED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試算シート" sheetId="3" r:id="rId1"/>
  </sheets>
  <definedNames>
    <definedName name="_xlnm.Print_Area" localSheetId="0">試算シート!$A$1:$M$61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3" l="1"/>
  <c r="H43" i="3" s="1"/>
  <c r="H41" i="3"/>
  <c r="H40" i="3"/>
  <c r="H36" i="3"/>
  <c r="H32" i="3"/>
  <c r="H31" i="3"/>
  <c r="H30" i="3"/>
  <c r="H34" i="3" l="1"/>
  <c r="H49" i="3" s="1"/>
  <c r="H33" i="3"/>
  <c r="F56" i="3" s="1"/>
  <c r="H46" i="3" l="1"/>
  <c r="H47" i="3" s="1"/>
  <c r="H26" i="3"/>
  <c r="F58" i="3" s="1"/>
  <c r="F60" i="3" s="1"/>
  <c r="H22" i="3"/>
  <c r="H23" i="3" s="1"/>
  <c r="H24" i="3" s="1"/>
  <c r="H28" i="3" s="1"/>
  <c r="H12" i="3"/>
  <c r="H18" i="3" l="1"/>
  <c r="F57" i="3" s="1"/>
  <c r="F59" i="3" s="1"/>
  <c r="H14" i="3"/>
  <c r="H13" i="3"/>
  <c r="H16" i="3" s="1"/>
  <c r="H20" i="3" s="1"/>
  <c r="H15" i="3" l="1"/>
  <c r="H48" i="3" l="1"/>
  <c r="H50" i="3" s="1"/>
  <c r="H52" i="3" l="1"/>
  <c r="H51" i="3"/>
</calcChain>
</file>

<file path=xl/sharedStrings.xml><?xml version="1.0" encoding="utf-8"?>
<sst xmlns="http://schemas.openxmlformats.org/spreadsheetml/2006/main" count="174" uniqueCount="116">
  <si>
    <t>建設費</t>
    <rPh sb="0" eb="3">
      <t>ケンセツヒ</t>
    </rPh>
    <phoneticPr fontId="1"/>
  </si>
  <si>
    <t>従来技術</t>
    <rPh sb="0" eb="2">
      <t>ジュウライ</t>
    </rPh>
    <rPh sb="2" eb="4">
      <t>ギジュツ</t>
    </rPh>
    <phoneticPr fontId="1"/>
  </si>
  <si>
    <t>機械建設費</t>
    <rPh sb="0" eb="2">
      <t>キカイ</t>
    </rPh>
    <rPh sb="2" eb="5">
      <t>ケンセツヒ</t>
    </rPh>
    <phoneticPr fontId="1"/>
  </si>
  <si>
    <t>電気建設費</t>
    <rPh sb="0" eb="2">
      <t>デンキ</t>
    </rPh>
    <rPh sb="2" eb="5">
      <t>ケンセツヒ</t>
    </rPh>
    <phoneticPr fontId="1"/>
  </si>
  <si>
    <t>建設費年価</t>
    <rPh sb="0" eb="3">
      <t>ケンセツヒ</t>
    </rPh>
    <rPh sb="3" eb="4">
      <t>ネン</t>
    </rPh>
    <rPh sb="4" eb="5">
      <t>カ</t>
    </rPh>
    <phoneticPr fontId="1"/>
  </si>
  <si>
    <t>革新的技術</t>
    <rPh sb="0" eb="3">
      <t>カクシンテキ</t>
    </rPh>
    <rPh sb="3" eb="5">
      <t>ギジュツ</t>
    </rPh>
    <phoneticPr fontId="1"/>
  </si>
  <si>
    <t>電気設備</t>
    <rPh sb="0" eb="2">
      <t>デンキ</t>
    </rPh>
    <rPh sb="2" eb="4">
      <t>セツビ</t>
    </rPh>
    <phoneticPr fontId="1"/>
  </si>
  <si>
    <t>維持管理費合計</t>
    <rPh sb="0" eb="2">
      <t>イジ</t>
    </rPh>
    <rPh sb="2" eb="5">
      <t>カンリヒ</t>
    </rPh>
    <rPh sb="5" eb="7">
      <t>ゴウケイ</t>
    </rPh>
    <phoneticPr fontId="1"/>
  </si>
  <si>
    <t>建設費合計</t>
    <rPh sb="0" eb="3">
      <t>ケンセツヒ</t>
    </rPh>
    <rPh sb="3" eb="5">
      <t>ゴウケイ</t>
    </rPh>
    <phoneticPr fontId="1"/>
  </si>
  <si>
    <t>費用（百万円）</t>
    <rPh sb="0" eb="2">
      <t>ヒヨウ</t>
    </rPh>
    <rPh sb="3" eb="5">
      <t>ヒャクマン</t>
    </rPh>
    <rPh sb="5" eb="6">
      <t>エン</t>
    </rPh>
    <phoneticPr fontId="1"/>
  </si>
  <si>
    <t>焼却設備</t>
    <rPh sb="0" eb="2">
      <t>ショウキャク</t>
    </rPh>
    <rPh sb="2" eb="4">
      <t>セツビ</t>
    </rPh>
    <phoneticPr fontId="1"/>
  </si>
  <si>
    <t>備考</t>
    <rPh sb="0" eb="2">
      <t>ビコウ</t>
    </rPh>
    <phoneticPr fontId="1"/>
  </si>
  <si>
    <t>技術区分</t>
    <rPh sb="0" eb="2">
      <t>ギジュツ</t>
    </rPh>
    <rPh sb="2" eb="4">
      <t>クブン</t>
    </rPh>
    <phoneticPr fontId="1"/>
  </si>
  <si>
    <t>項目</t>
    <rPh sb="0" eb="2">
      <t>コウモク</t>
    </rPh>
    <phoneticPr fontId="1"/>
  </si>
  <si>
    <t>設備名称</t>
    <rPh sb="0" eb="2">
      <t>セツビ</t>
    </rPh>
    <rPh sb="2" eb="4">
      <t>メイショウ</t>
    </rPh>
    <phoneticPr fontId="1"/>
  </si>
  <si>
    <t>費用回収年</t>
    <rPh sb="0" eb="2">
      <t>ヒヨウ</t>
    </rPh>
    <rPh sb="2" eb="4">
      <t>カイシュウ</t>
    </rPh>
    <rPh sb="4" eb="5">
      <t>ネン</t>
    </rPh>
    <phoneticPr fontId="1"/>
  </si>
  <si>
    <t>百万円</t>
    <rPh sb="0" eb="1">
      <t>ヒャク</t>
    </rPh>
    <rPh sb="1" eb="3">
      <t>マンエン</t>
    </rPh>
    <phoneticPr fontId="1"/>
  </si>
  <si>
    <t>百万円/年</t>
    <rPh sb="0" eb="1">
      <t>ヒャク</t>
    </rPh>
    <rPh sb="1" eb="3">
      <t>マンエン</t>
    </rPh>
    <rPh sb="4" eb="5">
      <t>ネン</t>
    </rPh>
    <phoneticPr fontId="1"/>
  </si>
  <si>
    <t>費用</t>
    <rPh sb="0" eb="2">
      <t>ヒヨウ</t>
    </rPh>
    <phoneticPr fontId="1"/>
  </si>
  <si>
    <t>単位</t>
    <rPh sb="0" eb="2">
      <t>タンイ</t>
    </rPh>
    <phoneticPr fontId="1"/>
  </si>
  <si>
    <t>年</t>
    <rPh sb="0" eb="1">
      <t>ネン</t>
    </rPh>
    <phoneticPr fontId="1"/>
  </si>
  <si>
    <t>百万円</t>
    <rPh sb="0" eb="2">
      <t>ヒャクマン</t>
    </rPh>
    <rPh sb="2" eb="3">
      <t>エン</t>
    </rPh>
    <phoneticPr fontId="1"/>
  </si>
  <si>
    <t>百万円/年</t>
    <rPh sb="0" eb="2">
      <t>ヒャクマン</t>
    </rPh>
    <rPh sb="2" eb="3">
      <t>エン</t>
    </rPh>
    <rPh sb="4" eb="5">
      <t>ネン</t>
    </rPh>
    <phoneticPr fontId="1"/>
  </si>
  <si>
    <t>費用関数</t>
    <rPh sb="0" eb="2">
      <t>ヒヨウ</t>
    </rPh>
    <rPh sb="2" eb="4">
      <t>カンスウ</t>
    </rPh>
    <phoneticPr fontId="1"/>
  </si>
  <si>
    <t>ー</t>
    <phoneticPr fontId="1"/>
  </si>
  <si>
    <t>④：①＋②＋③</t>
    <phoneticPr fontId="1"/>
  </si>
  <si>
    <t>a：⑤＋⑥</t>
    <phoneticPr fontId="1"/>
  </si>
  <si>
    <t>⑰</t>
    <phoneticPr fontId="1"/>
  </si>
  <si>
    <t>備考</t>
    <rPh sb="0" eb="2">
      <t>ビコウ</t>
    </rPh>
    <phoneticPr fontId="1"/>
  </si>
  <si>
    <t>％</t>
    <phoneticPr fontId="1"/>
  </si>
  <si>
    <t>諸元値一覧</t>
    <rPh sb="0" eb="2">
      <t>ショゲン</t>
    </rPh>
    <rPh sb="2" eb="3">
      <t>チ</t>
    </rPh>
    <rPh sb="3" eb="5">
      <t>イチラン</t>
    </rPh>
    <phoneticPr fontId="1"/>
  </si>
  <si>
    <t>⑧</t>
    <phoneticPr fontId="1"/>
  </si>
  <si>
    <t>機械設備</t>
    <rPh sb="0" eb="2">
      <t>キカイ</t>
    </rPh>
    <rPh sb="2" eb="4">
      <t>セツビ</t>
    </rPh>
    <phoneticPr fontId="1"/>
  </si>
  <si>
    <t>土木建築施設</t>
    <rPh sb="0" eb="2">
      <t>ドボク</t>
    </rPh>
    <rPh sb="2" eb="4">
      <t>ケンチク</t>
    </rPh>
    <rPh sb="4" eb="6">
      <t>シセツ</t>
    </rPh>
    <phoneticPr fontId="1"/>
  </si>
  <si>
    <t>⑤、i：利子率、n：耐用年数
※工種別に年価を算出し、合計する。</t>
    <rPh sb="4" eb="7">
      <t>リシリツ</t>
    </rPh>
    <rPh sb="10" eb="12">
      <t>タイヨウ</t>
    </rPh>
    <rPh sb="12" eb="14">
      <t>ネンスウ</t>
    </rPh>
    <rPh sb="23" eb="25">
      <t>サンシュツ</t>
    </rPh>
    <phoneticPr fontId="1"/>
  </si>
  <si>
    <t>①、Xd：設備規模(wet-t/日)</t>
    <rPh sb="5" eb="7">
      <t>セツビ</t>
    </rPh>
    <rPh sb="7" eb="9">
      <t>キボ</t>
    </rPh>
    <rPh sb="16" eb="17">
      <t>ヒ</t>
    </rPh>
    <phoneticPr fontId="1"/>
  </si>
  <si>
    <t xml:space="preserve">⑥、Xy：年間処理脱水汚泥量(wet-t/年) </t>
    <rPh sb="5" eb="7">
      <t>ネンカン</t>
    </rPh>
    <rPh sb="7" eb="9">
      <t>ショリ</t>
    </rPh>
    <rPh sb="9" eb="11">
      <t>ダッスイ</t>
    </rPh>
    <rPh sb="11" eb="14">
      <t>オデイリョウ</t>
    </rPh>
    <rPh sb="21" eb="22">
      <t>ネン</t>
    </rPh>
    <phoneticPr fontId="1"/>
  </si>
  <si>
    <t>設備規模(wet-t/日)</t>
    <rPh sb="0" eb="2">
      <t>セツビ</t>
    </rPh>
    <rPh sb="2" eb="4">
      <t>キボ</t>
    </rPh>
    <phoneticPr fontId="1"/>
  </si>
  <si>
    <t>年間処理脱水汚泥量(wet-t/年)</t>
    <rPh sb="0" eb="2">
      <t>ネンカン</t>
    </rPh>
    <rPh sb="2" eb="4">
      <t>ショリ</t>
    </rPh>
    <rPh sb="4" eb="6">
      <t>ダッスイ</t>
    </rPh>
    <rPh sb="6" eb="9">
      <t>オデイリョウ</t>
    </rPh>
    <rPh sb="16" eb="17">
      <t>ネン</t>
    </rPh>
    <phoneticPr fontId="1"/>
  </si>
  <si>
    <t>電力単価(円/kWh)</t>
    <rPh sb="0" eb="2">
      <t>デンリョク</t>
    </rPh>
    <rPh sb="2" eb="4">
      <t>タンカ</t>
    </rPh>
    <rPh sb="5" eb="6">
      <t>エン</t>
    </rPh>
    <phoneticPr fontId="1"/>
  </si>
  <si>
    <t>維持管理費
(電力、燃料、薬品費、補修費、人件費)</t>
    <rPh sb="0" eb="2">
      <t>イジ</t>
    </rPh>
    <rPh sb="2" eb="5">
      <t>カンリヒ</t>
    </rPh>
    <rPh sb="7" eb="9">
      <t>デンリョク</t>
    </rPh>
    <rPh sb="10" eb="12">
      <t>ネンリョウ</t>
    </rPh>
    <rPh sb="13" eb="15">
      <t>ヤクヒン</t>
    </rPh>
    <rPh sb="15" eb="16">
      <t>ヒ</t>
    </rPh>
    <rPh sb="17" eb="20">
      <t>ホシュウヒ</t>
    </rPh>
    <rPh sb="21" eb="24">
      <t>ジンケンヒ</t>
    </rPh>
    <phoneticPr fontId="1"/>
  </si>
  <si>
    <t>総費用(年価換算値)</t>
    <rPh sb="0" eb="3">
      <t>ソウヒヨウ</t>
    </rPh>
    <rPh sb="4" eb="5">
      <t>トシ</t>
    </rPh>
    <rPh sb="5" eb="6">
      <t>アタイ</t>
    </rPh>
    <rPh sb="6" eb="8">
      <t>カンサン</t>
    </rPh>
    <rPh sb="8" eb="9">
      <t>アタイ</t>
    </rPh>
    <phoneticPr fontId="1"/>
  </si>
  <si>
    <t>利子率(％)</t>
    <rPh sb="0" eb="2">
      <t>リシ</t>
    </rPh>
    <rPh sb="2" eb="3">
      <t>リツ</t>
    </rPh>
    <phoneticPr fontId="1"/>
  </si>
  <si>
    <t>対象年数(年)</t>
    <rPh sb="0" eb="2">
      <t>タイショウ</t>
    </rPh>
    <rPh sb="2" eb="4">
      <t>ネンスウ</t>
    </rPh>
    <rPh sb="5" eb="6">
      <t>ネン</t>
    </rPh>
    <phoneticPr fontId="1"/>
  </si>
  <si>
    <t>総費用（年価換算値）</t>
    <rPh sb="0" eb="3">
      <t>ソウヒヨウ</t>
    </rPh>
    <rPh sb="4" eb="6">
      <t>ネンカ</t>
    </rPh>
    <rPh sb="6" eb="9">
      <t>カンサンチ</t>
    </rPh>
    <phoneticPr fontId="1"/>
  </si>
  <si>
    <t>土木建築費</t>
    <rPh sb="0" eb="2">
      <t>ドボク</t>
    </rPh>
    <rPh sb="2" eb="5">
      <t>ケンチクヒ</t>
    </rPh>
    <phoneticPr fontId="1"/>
  </si>
  <si>
    <t>燃料化設備</t>
    <rPh sb="0" eb="3">
      <t>ネンリョウカ</t>
    </rPh>
    <rPh sb="3" eb="5">
      <t>セツビ</t>
    </rPh>
    <phoneticPr fontId="1"/>
  </si>
  <si>
    <t>工事費（土木、機械、電気含む）</t>
    <rPh sb="0" eb="2">
      <t>コウジ</t>
    </rPh>
    <rPh sb="2" eb="3">
      <t>ヒ</t>
    </rPh>
    <rPh sb="4" eb="6">
      <t>ドボク</t>
    </rPh>
    <rPh sb="7" eb="9">
      <t>キカイ</t>
    </rPh>
    <rPh sb="10" eb="12">
      <t>デンキ</t>
    </rPh>
    <rPh sb="12" eb="13">
      <t>フク</t>
    </rPh>
    <phoneticPr fontId="1"/>
  </si>
  <si>
    <t>②、Xd：設備規模(wet-t/日)</t>
    <phoneticPr fontId="1"/>
  </si>
  <si>
    <t>③、Xd：設備規模(wet-t/日)</t>
    <phoneticPr fontId="1"/>
  </si>
  <si>
    <t>⑦、Xd：設備規模(wet-t/日)</t>
    <rPh sb="5" eb="7">
      <t>セツビ</t>
    </rPh>
    <rPh sb="7" eb="9">
      <t>キボ</t>
    </rPh>
    <rPh sb="16" eb="17">
      <t>ヒ</t>
    </rPh>
    <phoneticPr fontId="1"/>
  </si>
  <si>
    <t>⑨、i：利子率、n：耐用年数
※工種別に年価を算出し、合計する。</t>
    <rPh sb="4" eb="7">
      <t>リシリツ</t>
    </rPh>
    <rPh sb="10" eb="12">
      <t>タイヨウ</t>
    </rPh>
    <rPh sb="12" eb="14">
      <t>ネンスウ</t>
    </rPh>
    <rPh sb="23" eb="25">
      <t>サンシュツ</t>
    </rPh>
    <phoneticPr fontId="1"/>
  </si>
  <si>
    <t>b：⑨＋⑩</t>
    <phoneticPr fontId="1"/>
  </si>
  <si>
    <t>⑩、Xd：設備規模(wet-t/日)</t>
    <phoneticPr fontId="1"/>
  </si>
  <si>
    <t>Y=0.726Xd0.539×100</t>
    <phoneticPr fontId="1"/>
  </si>
  <si>
    <t>Y=1.8697Xd+96.31</t>
    <phoneticPr fontId="1"/>
  </si>
  <si>
    <t>維持管理費(電力費）</t>
    <rPh sb="6" eb="8">
      <t>デンリョク</t>
    </rPh>
    <rPh sb="8" eb="9">
      <t>ヒ</t>
    </rPh>
    <phoneticPr fontId="1"/>
  </si>
  <si>
    <t>維持管理費(燃料費)</t>
    <rPh sb="0" eb="2">
      <t>イジ</t>
    </rPh>
    <rPh sb="2" eb="5">
      <t>カンリヒ</t>
    </rPh>
    <rPh sb="6" eb="9">
      <t>ネンリョウヒ</t>
    </rPh>
    <phoneticPr fontId="1"/>
  </si>
  <si>
    <t>乾燥必要熱量
(MJ/日)</t>
    <rPh sb="0" eb="2">
      <t>カンソウ</t>
    </rPh>
    <rPh sb="2" eb="4">
      <t>ヒツヨウ</t>
    </rPh>
    <rPh sb="4" eb="6">
      <t>ネツリョウ</t>
    </rPh>
    <rPh sb="11" eb="12">
      <t>ヒ</t>
    </rPh>
    <phoneticPr fontId="1"/>
  </si>
  <si>
    <t>Q＝2.5(MJ/kg)×[Xrd]×{1-(1-投入汚泥含水率/100)/(1-乾燥燃料含水率/100)}×1000×1.8</t>
    <phoneticPr fontId="1"/>
  </si>
  <si>
    <t>消化ガス熱量
(MJ/日)</t>
    <rPh sb="0" eb="2">
      <t>ショウカ</t>
    </rPh>
    <rPh sb="4" eb="6">
      <t>ネツリョウ</t>
    </rPh>
    <phoneticPr fontId="1"/>
  </si>
  <si>
    <t>廃熱の熱量
(MJ/日)</t>
    <rPh sb="0" eb="2">
      <t>ハイネツ</t>
    </rPh>
    <rPh sb="3" eb="5">
      <t>ネツリョウ</t>
    </rPh>
    <phoneticPr fontId="1"/>
  </si>
  <si>
    <t>維持管理費(補修費)</t>
    <rPh sb="0" eb="2">
      <t>イジ</t>
    </rPh>
    <rPh sb="2" eb="5">
      <t>カンリヒ</t>
    </rPh>
    <rPh sb="6" eb="8">
      <t>ホシュウ</t>
    </rPh>
    <rPh sb="8" eb="9">
      <t>ヒ</t>
    </rPh>
    <phoneticPr fontId="1"/>
  </si>
  <si>
    <t>維持管理費(人件費）</t>
    <rPh sb="6" eb="9">
      <t>ジンケンヒ</t>
    </rPh>
    <phoneticPr fontId="1"/>
  </si>
  <si>
    <t>固定値</t>
    <rPh sb="0" eb="3">
      <t>コテイチ</t>
    </rPh>
    <phoneticPr fontId="1"/>
  </si>
  <si>
    <t>Y＝建設費×0.02</t>
    <rPh sb="2" eb="5">
      <t>ケンセツヒ</t>
    </rPh>
    <phoneticPr fontId="1"/>
  </si>
  <si>
    <t>革新的技術建設費年価</t>
    <rPh sb="0" eb="3">
      <t>カクシンテキ</t>
    </rPh>
    <rPh sb="3" eb="5">
      <t>ギジュツ</t>
    </rPh>
    <rPh sb="5" eb="8">
      <t>ケンセツヒ</t>
    </rPh>
    <rPh sb="8" eb="10">
      <t>ネンカ</t>
    </rPh>
    <phoneticPr fontId="1"/>
  </si>
  <si>
    <t>革新的技術維持管理費</t>
    <rPh sb="0" eb="3">
      <t>カクシンテキ</t>
    </rPh>
    <rPh sb="3" eb="5">
      <t>ギジュツ</t>
    </rPh>
    <rPh sb="5" eb="7">
      <t>イジ</t>
    </rPh>
    <rPh sb="7" eb="10">
      <t>カンリヒ</t>
    </rPh>
    <phoneticPr fontId="1"/>
  </si>
  <si>
    <t>総費用（年価換算値）削減効果（対焼却設備）</t>
    <rPh sb="0" eb="3">
      <t>ソウヒヨウ</t>
    </rPh>
    <rPh sb="4" eb="6">
      <t>ネンカ</t>
    </rPh>
    <rPh sb="6" eb="8">
      <t>カンサン</t>
    </rPh>
    <rPh sb="8" eb="9">
      <t>チ</t>
    </rPh>
    <rPh sb="10" eb="12">
      <t>サクゲン</t>
    </rPh>
    <rPh sb="12" eb="14">
      <t>コウカ</t>
    </rPh>
    <rPh sb="15" eb="16">
      <t>タイ</t>
    </rPh>
    <rPh sb="16" eb="18">
      <t>ショウキャク</t>
    </rPh>
    <rPh sb="18" eb="20">
      <t>セツビ</t>
    </rPh>
    <phoneticPr fontId="1"/>
  </si>
  <si>
    <t>総費用（年価換算値）削減効果（対燃料化設備）</t>
    <rPh sb="0" eb="3">
      <t>ソウヒヨウ</t>
    </rPh>
    <rPh sb="4" eb="6">
      <t>ネンカ</t>
    </rPh>
    <rPh sb="6" eb="8">
      <t>カンサン</t>
    </rPh>
    <rPh sb="8" eb="9">
      <t>チ</t>
    </rPh>
    <rPh sb="10" eb="12">
      <t>サクゲン</t>
    </rPh>
    <rPh sb="12" eb="14">
      <t>コウカ</t>
    </rPh>
    <rPh sb="15" eb="16">
      <t>タイ</t>
    </rPh>
    <rPh sb="16" eb="19">
      <t>ネンリョウカ</t>
    </rPh>
    <rPh sb="19" eb="21">
      <t>セツビ</t>
    </rPh>
    <phoneticPr fontId="1"/>
  </si>
  <si>
    <t>⑪、Xd：設備規模(wet-t/日)</t>
    <phoneticPr fontId="1"/>
  </si>
  <si>
    <t>⑫、Xd：設備規模(wet-t/日)</t>
    <phoneticPr fontId="1"/>
  </si>
  <si>
    <t>⑬、Xd：設備規模(wet-t/日)</t>
    <phoneticPr fontId="1"/>
  </si>
  <si>
    <t>⑭：⑪＋⑫＋⑬</t>
    <phoneticPr fontId="1"/>
  </si>
  <si>
    <t>⑮、i：利子率、n：耐用年数
※工種別に年価を算出し、合計する。</t>
    <rPh sb="23" eb="25">
      <t>サンシュツ</t>
    </rPh>
    <phoneticPr fontId="1"/>
  </si>
  <si>
    <t>実処理量(wet-t/日)</t>
    <rPh sb="0" eb="1">
      <t>ジツ</t>
    </rPh>
    <rPh sb="1" eb="3">
      <t>ショリ</t>
    </rPh>
    <rPh sb="3" eb="4">
      <t>リョウ</t>
    </rPh>
    <phoneticPr fontId="1"/>
  </si>
  <si>
    <t>⑯、Xd：設備規模(wet-t/日)
　　Xrd：実処理量(wet-t/日)</t>
    <rPh sb="25" eb="26">
      <t>ジツ</t>
    </rPh>
    <rPh sb="26" eb="28">
      <t>ショリ</t>
    </rPh>
    <rPh sb="28" eb="29">
      <t>リョウ</t>
    </rPh>
    <phoneticPr fontId="1"/>
  </si>
  <si>
    <t>投入汚泥含水率(%)</t>
    <rPh sb="0" eb="2">
      <t>トウニュウ</t>
    </rPh>
    <rPh sb="2" eb="4">
      <t>オデイ</t>
    </rPh>
    <rPh sb="4" eb="7">
      <t>ガンスイリツ</t>
    </rPh>
    <phoneticPr fontId="1"/>
  </si>
  <si>
    <r>
      <t>消化ガス使用量(Nm3/h</t>
    </r>
    <r>
      <rPr>
        <sz val="11"/>
        <rFont val="游ゴシック"/>
        <family val="3"/>
        <charset val="128"/>
        <scheme val="minor"/>
      </rPr>
      <t>)</t>
    </r>
    <rPh sb="0" eb="2">
      <t>ショウカ</t>
    </rPh>
    <rPh sb="4" eb="6">
      <t>シヨウ</t>
    </rPh>
    <rPh sb="6" eb="7">
      <t>リョウ</t>
    </rPh>
    <phoneticPr fontId="1"/>
  </si>
  <si>
    <r>
      <t>焼却炉廃熱量(Nm3/h</t>
    </r>
    <r>
      <rPr>
        <sz val="11"/>
        <rFont val="游ゴシック"/>
        <family val="3"/>
        <charset val="128"/>
        <scheme val="minor"/>
      </rPr>
      <t>)</t>
    </r>
    <rPh sb="0" eb="3">
      <t>ショウキャクロ</t>
    </rPh>
    <rPh sb="3" eb="5">
      <t>ハイネツ</t>
    </rPh>
    <rPh sb="5" eb="6">
      <t>リョウ</t>
    </rPh>
    <phoneticPr fontId="1"/>
  </si>
  <si>
    <t>年間稼働日数(日/年)</t>
    <rPh sb="0" eb="2">
      <t>ネンカン</t>
    </rPh>
    <rPh sb="2" eb="4">
      <t>カドウ</t>
    </rPh>
    <rPh sb="4" eb="6">
      <t>ニッスウ</t>
    </rPh>
    <rPh sb="7" eb="8">
      <t>ヒ</t>
    </rPh>
    <rPh sb="9" eb="10">
      <t>ネン</t>
    </rPh>
    <phoneticPr fontId="1"/>
  </si>
  <si>
    <t>重油単価(円/L)</t>
    <rPh sb="0" eb="2">
      <t>ジュウユ</t>
    </rPh>
    <rPh sb="2" eb="4">
      <t>タンカ</t>
    </rPh>
    <rPh sb="5" eb="6">
      <t>エン</t>
    </rPh>
    <phoneticPr fontId="1"/>
  </si>
  <si>
    <t>⑱
施設全体の職員配置計画を考慮して決定する</t>
    <rPh sb="2" eb="4">
      <t>シセツ</t>
    </rPh>
    <rPh sb="4" eb="6">
      <t>ゼンタイ</t>
    </rPh>
    <rPh sb="7" eb="9">
      <t>ショクイン</t>
    </rPh>
    <rPh sb="9" eb="11">
      <t>ハイチ</t>
    </rPh>
    <rPh sb="11" eb="13">
      <t>ケイカク</t>
    </rPh>
    <rPh sb="14" eb="16">
      <t>コウリョ</t>
    </rPh>
    <rPh sb="18" eb="20">
      <t>ケッテイ</t>
    </rPh>
    <phoneticPr fontId="1"/>
  </si>
  <si>
    <t>⑲</t>
    <phoneticPr fontId="1"/>
  </si>
  <si>
    <t>⑳：⑯＋⑰＋⑱＋⑲</t>
    <phoneticPr fontId="1"/>
  </si>
  <si>
    <t>㉑</t>
    <phoneticPr fontId="1"/>
  </si>
  <si>
    <t>㉒</t>
    <phoneticPr fontId="1"/>
  </si>
  <si>
    <t>(1-c/a)×100</t>
    <phoneticPr fontId="1"/>
  </si>
  <si>
    <t>c：㉑＋㉒</t>
    <phoneticPr fontId="1"/>
  </si>
  <si>
    <t>(1-c/b)×100</t>
    <phoneticPr fontId="1"/>
  </si>
  <si>
    <t>a：⑭</t>
    <phoneticPr fontId="1"/>
  </si>
  <si>
    <t>維持管理費削減効果</t>
    <rPh sb="0" eb="2">
      <t>イジ</t>
    </rPh>
    <rPh sb="2" eb="5">
      <t>カンリヒ</t>
    </rPh>
    <rPh sb="5" eb="7">
      <t>サクゲン</t>
    </rPh>
    <rPh sb="7" eb="9">
      <t>コウカ</t>
    </rPh>
    <phoneticPr fontId="1"/>
  </si>
  <si>
    <t>革新的技術</t>
    <rPh sb="0" eb="2">
      <t>カクシン</t>
    </rPh>
    <rPh sb="2" eb="3">
      <t>テキ</t>
    </rPh>
    <rPh sb="3" eb="5">
      <t>ギジュツ</t>
    </rPh>
    <phoneticPr fontId="1"/>
  </si>
  <si>
    <t>対焼却炉</t>
    <rPh sb="0" eb="1">
      <t>タイ</t>
    </rPh>
    <rPh sb="1" eb="4">
      <t>ショウキャクロ</t>
    </rPh>
    <phoneticPr fontId="1"/>
  </si>
  <si>
    <t>対燃料化設備</t>
    <rPh sb="0" eb="1">
      <t>タイ</t>
    </rPh>
    <rPh sb="1" eb="4">
      <t>ネンリョウカ</t>
    </rPh>
    <rPh sb="4" eb="6">
      <t>セツビ</t>
    </rPh>
    <phoneticPr fontId="1"/>
  </si>
  <si>
    <t>b：⑥-㉒</t>
    <phoneticPr fontId="1"/>
  </si>
  <si>
    <t>c：⑩-㉒</t>
    <phoneticPr fontId="1"/>
  </si>
  <si>
    <t>費用回収年（対焼却炉）</t>
    <rPh sb="0" eb="2">
      <t>ヒヨウ</t>
    </rPh>
    <rPh sb="2" eb="4">
      <t>カイシュウ</t>
    </rPh>
    <rPh sb="4" eb="5">
      <t>ネン</t>
    </rPh>
    <rPh sb="6" eb="7">
      <t>タイ</t>
    </rPh>
    <rPh sb="7" eb="10">
      <t>ショウキャクロ</t>
    </rPh>
    <phoneticPr fontId="1"/>
  </si>
  <si>
    <t>費用回収年（対燃料化設備）</t>
    <rPh sb="0" eb="2">
      <t>ヒヨウ</t>
    </rPh>
    <rPh sb="2" eb="4">
      <t>カイシュウ</t>
    </rPh>
    <rPh sb="4" eb="5">
      <t>ネン</t>
    </rPh>
    <rPh sb="6" eb="7">
      <t>タイ</t>
    </rPh>
    <rPh sb="7" eb="10">
      <t>ネンリョウカ</t>
    </rPh>
    <rPh sb="10" eb="12">
      <t>セツビ</t>
    </rPh>
    <phoneticPr fontId="1"/>
  </si>
  <si>
    <t xml:space="preserve"> a/b</t>
    <phoneticPr fontId="1"/>
  </si>
  <si>
    <t xml:space="preserve"> a/c</t>
    <phoneticPr fontId="1"/>
  </si>
  <si>
    <r>
      <t>Y=1.361Xd</t>
    </r>
    <r>
      <rPr>
        <vertAlign val="superscript"/>
        <sz val="11"/>
        <rFont val="游ゴシック"/>
        <family val="3"/>
        <charset val="128"/>
        <scheme val="minor"/>
      </rPr>
      <t>0.38</t>
    </r>
    <r>
      <rPr>
        <sz val="11"/>
        <rFont val="游ゴシック"/>
        <family val="3"/>
        <charset val="128"/>
        <scheme val="minor"/>
      </rPr>
      <t>×100</t>
    </r>
    <phoneticPr fontId="1"/>
  </si>
  <si>
    <r>
      <t>Y=1.888Xd</t>
    </r>
    <r>
      <rPr>
        <vertAlign val="superscript"/>
        <sz val="11"/>
        <rFont val="游ゴシック"/>
        <family val="3"/>
        <charset val="128"/>
        <scheme val="minor"/>
      </rPr>
      <t>0.597</t>
    </r>
    <r>
      <rPr>
        <sz val="11"/>
        <rFont val="游ゴシック"/>
        <family val="3"/>
        <charset val="128"/>
        <scheme val="minor"/>
      </rPr>
      <t>×100</t>
    </r>
    <phoneticPr fontId="1"/>
  </si>
  <si>
    <r>
      <t>Y=工種別建設費×i(1+i)</t>
    </r>
    <r>
      <rPr>
        <vertAlign val="superscript"/>
        <sz val="11"/>
        <rFont val="游ゴシック"/>
        <family val="3"/>
        <charset val="128"/>
        <scheme val="minor"/>
      </rPr>
      <t>n</t>
    </r>
    <r>
      <rPr>
        <sz val="11"/>
        <rFont val="游ゴシック"/>
        <family val="3"/>
        <charset val="128"/>
        <scheme val="minor"/>
      </rPr>
      <t>/{(1+i)</t>
    </r>
    <r>
      <rPr>
        <vertAlign val="superscript"/>
        <sz val="11"/>
        <rFont val="游ゴシック"/>
        <family val="3"/>
        <charset val="128"/>
        <scheme val="minor"/>
      </rPr>
      <t>n</t>
    </r>
    <r>
      <rPr>
        <sz val="11"/>
        <rFont val="游ゴシック"/>
        <family val="3"/>
        <charset val="128"/>
        <scheme val="minor"/>
      </rPr>
      <t>-1}</t>
    </r>
    <rPh sb="2" eb="5">
      <t>コウシュベツ</t>
    </rPh>
    <rPh sb="5" eb="8">
      <t>ケンセツヒ</t>
    </rPh>
    <phoneticPr fontId="1"/>
  </si>
  <si>
    <r>
      <t>Y=0.287Xy</t>
    </r>
    <r>
      <rPr>
        <vertAlign val="superscript"/>
        <sz val="11"/>
        <rFont val="游ゴシック"/>
        <family val="3"/>
        <charset val="128"/>
        <scheme val="minor"/>
      </rPr>
      <t>0.673</t>
    </r>
    <phoneticPr fontId="1"/>
  </si>
  <si>
    <r>
      <t>Y=2.7774Xd</t>
    </r>
    <r>
      <rPr>
        <vertAlign val="superscript"/>
        <sz val="11"/>
        <rFont val="游ゴシック"/>
        <family val="3"/>
        <charset val="128"/>
        <scheme val="minor"/>
      </rPr>
      <t>0.5122</t>
    </r>
    <r>
      <rPr>
        <sz val="11"/>
        <rFont val="游ゴシック"/>
        <family val="3"/>
        <charset val="128"/>
        <scheme val="minor"/>
      </rPr>
      <t>×100</t>
    </r>
    <phoneticPr fontId="1"/>
  </si>
  <si>
    <r>
      <t>Y=0.123Xd</t>
    </r>
    <r>
      <rPr>
        <vertAlign val="superscript"/>
        <sz val="11"/>
        <rFont val="游ゴシック"/>
        <family val="3"/>
        <charset val="128"/>
        <scheme val="minor"/>
      </rPr>
      <t>0.941</t>
    </r>
    <r>
      <rPr>
        <sz val="11"/>
        <rFont val="游ゴシック"/>
        <family val="3"/>
        <charset val="128"/>
        <scheme val="minor"/>
      </rPr>
      <t>×100</t>
    </r>
    <phoneticPr fontId="1"/>
  </si>
  <si>
    <r>
      <t>Y=10.34(Xd/30)</t>
    </r>
    <r>
      <rPr>
        <vertAlign val="superscript"/>
        <sz val="11"/>
        <rFont val="游ゴシック"/>
        <family val="3"/>
        <charset val="128"/>
        <scheme val="minor"/>
      </rPr>
      <t>0.7</t>
    </r>
    <r>
      <rPr>
        <sz val="11"/>
        <rFont val="游ゴシック"/>
        <family val="3"/>
        <charset val="128"/>
        <scheme val="minor"/>
      </rPr>
      <t>×100</t>
    </r>
    <phoneticPr fontId="1"/>
  </si>
  <si>
    <r>
      <t>Y=1.42(Xd/30)</t>
    </r>
    <r>
      <rPr>
        <vertAlign val="superscript"/>
        <sz val="11"/>
        <rFont val="游ゴシック"/>
        <family val="3"/>
        <charset val="128"/>
        <scheme val="minor"/>
      </rPr>
      <t>0.7</t>
    </r>
    <r>
      <rPr>
        <sz val="11"/>
        <rFont val="游ゴシック"/>
        <family val="3"/>
        <charset val="128"/>
        <scheme val="minor"/>
      </rPr>
      <t>×100</t>
    </r>
    <phoneticPr fontId="1"/>
  </si>
  <si>
    <r>
      <t>Y=工種別建設費×i(1+i)</t>
    </r>
    <r>
      <rPr>
        <vertAlign val="superscript"/>
        <sz val="11"/>
        <rFont val="游ゴシック"/>
        <family val="3"/>
        <charset val="128"/>
        <scheme val="minor"/>
      </rPr>
      <t>n</t>
    </r>
    <r>
      <rPr>
        <sz val="11"/>
        <rFont val="游ゴシック"/>
        <family val="3"/>
        <charset val="128"/>
        <scheme val="minor"/>
      </rPr>
      <t>/{(1+i)</t>
    </r>
    <r>
      <rPr>
        <vertAlign val="superscript"/>
        <sz val="11"/>
        <rFont val="游ゴシック"/>
        <family val="3"/>
        <charset val="128"/>
        <scheme val="minor"/>
      </rPr>
      <t>n</t>
    </r>
    <r>
      <rPr>
        <sz val="11"/>
        <rFont val="游ゴシック"/>
        <family val="3"/>
        <charset val="128"/>
        <scheme val="minor"/>
      </rPr>
      <t>-1}</t>
    </r>
    <rPh sb="2" eb="4">
      <t>コウシュ</t>
    </rPh>
    <rPh sb="4" eb="5">
      <t>ベツ</t>
    </rPh>
    <rPh sb="5" eb="8">
      <t>ケンセツヒ</t>
    </rPh>
    <phoneticPr fontId="1"/>
  </si>
  <si>
    <r>
      <t>Y＝(10.112×ln[Xd]＋65.447)×[Xrd]
　　×年間稼動日数×電力単価×10</t>
    </r>
    <r>
      <rPr>
        <vertAlign val="superscript"/>
        <sz val="11"/>
        <rFont val="游ゴシック"/>
        <family val="3"/>
        <charset val="128"/>
        <scheme val="minor"/>
      </rPr>
      <t>-6</t>
    </r>
    <phoneticPr fontId="1"/>
  </si>
  <si>
    <r>
      <t>M1＝消化ガス使用量(Nm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/日)×22.5</t>
    </r>
    <phoneticPr fontId="1"/>
  </si>
  <si>
    <r>
      <t>M2＝焼却炉廃熱量(Nm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/日)×0.2149</t>
    </r>
    <phoneticPr fontId="1"/>
  </si>
  <si>
    <r>
      <t>Y＝{(Q-M1-M2)/39.1}×年間稼働日数
×重油単価×10</t>
    </r>
    <r>
      <rPr>
        <vertAlign val="superscript"/>
        <sz val="11"/>
        <rFont val="游ゴシック"/>
        <family val="3"/>
        <charset val="128"/>
        <scheme val="minor"/>
      </rPr>
      <t>-6</t>
    </r>
    <phoneticPr fontId="1"/>
  </si>
  <si>
    <t>乾燥燃料含水率(%)※</t>
    <rPh sb="0" eb="2">
      <t>カンソウ</t>
    </rPh>
    <rPh sb="2" eb="4">
      <t>ネンリョウ</t>
    </rPh>
    <rPh sb="4" eb="6">
      <t>ガンスイ</t>
    </rPh>
    <rPh sb="6" eb="7">
      <t>リツ</t>
    </rPh>
    <phoneticPr fontId="1"/>
  </si>
  <si>
    <t>※乾燥燃料含水率は実証試験での代表値</t>
    <rPh sb="1" eb="3">
      <t>カンソウ</t>
    </rPh>
    <rPh sb="3" eb="5">
      <t>ネンリョウ</t>
    </rPh>
    <rPh sb="5" eb="7">
      <t>ガンスイ</t>
    </rPh>
    <rPh sb="7" eb="8">
      <t>リツ</t>
    </rPh>
    <rPh sb="9" eb="11">
      <t>ジッショウ</t>
    </rPh>
    <rPh sb="11" eb="13">
      <t>シケン</t>
    </rPh>
    <rPh sb="15" eb="17">
      <t>ダイヒョウ</t>
    </rPh>
    <rPh sb="17" eb="18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</si>
</sst>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_ "/>
    <numFmt numFmtId="177" formatCode="0.00_ "/>
    <numFmt numFmtId="178" formatCode="0.0%"/>
    <numFmt numFmtId="179" formatCode="#,##0_ "/>
    <numFmt numFmtId="180" formatCode="0.0_ "/>
    <numFmt numFmtId="181" formatCode="#,##0.00_ "/>
    <numFmt numFmtId="182" formatCode="#,##0.00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4F9F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9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9" fontId="0" fillId="0" borderId="1" xfId="0" applyNumberFormat="1" applyFill="1" applyBorder="1" applyAlignment="1">
      <alignment horizontal="center" vertical="center"/>
    </xf>
    <xf numFmtId="182" fontId="0" fillId="0" borderId="4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79" fontId="0" fillId="0" borderId="2" xfId="0" applyNumberFormat="1" applyFill="1" applyBorder="1" applyAlignment="1">
      <alignment horizontal="center" vertical="center"/>
    </xf>
    <xf numFmtId="179" fontId="0" fillId="0" borderId="4" xfId="0" applyNumberForma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81" fontId="0" fillId="0" borderId="2" xfId="0" applyNumberFormat="1" applyFill="1" applyBorder="1" applyAlignment="1">
      <alignment horizontal="center" vertical="center"/>
    </xf>
    <xf numFmtId="181" fontId="0" fillId="0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4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2057400</xdr:colOff>
      <xdr:row>9</xdr:row>
      <xdr:rowOff>152400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534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201146</xdr:colOff>
      <xdr:row>0</xdr:row>
      <xdr:rowOff>120463</xdr:rowOff>
    </xdr:from>
    <xdr:to>
      <xdr:col>4</xdr:col>
      <xdr:colOff>352425</xdr:colOff>
      <xdr:row>0</xdr:row>
      <xdr:rowOff>392206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621617" y="120463"/>
          <a:ext cx="3072279" cy="271743"/>
          <a:chOff x="2763371" y="120093"/>
          <a:chExt cx="3075454" cy="276225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763371" y="184336"/>
            <a:ext cx="493059" cy="156882"/>
          </a:xfrm>
          <a:prstGeom prst="rect">
            <a:avLst/>
          </a:prstGeom>
          <a:solidFill>
            <a:srgbClr val="D4F9F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5" y="120093"/>
            <a:ext cx="2533650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：手入力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61"/>
  <sheetViews>
    <sheetView showGridLines="0" tabSelected="1" view="pageBreakPreview" zoomScale="85" zoomScaleNormal="85" zoomScaleSheetLayoutView="85" workbookViewId="0">
      <selection activeCell="E10" sqref="E10"/>
    </sheetView>
  </sheetViews>
  <sheetFormatPr defaultColWidth="9" defaultRowHeight="18" x14ac:dyDescent="0.55000000000000004"/>
  <cols>
    <col min="1" max="1" width="1.58203125" style="3" customWidth="1"/>
    <col min="2" max="2" width="11" style="3" customWidth="1"/>
    <col min="3" max="3" width="19.25" style="3" bestFit="1" customWidth="1"/>
    <col min="4" max="4" width="38.33203125" style="3" customWidth="1"/>
    <col min="5" max="5" width="12.33203125" style="3" customWidth="1"/>
    <col min="6" max="6" width="27.58203125" style="3" customWidth="1"/>
    <col min="7" max="7" width="24.58203125" style="16" customWidth="1"/>
    <col min="8" max="8" width="22.5" style="3" bestFit="1" customWidth="1"/>
    <col min="9" max="9" width="37.75" style="3" bestFit="1" customWidth="1"/>
    <col min="10" max="10" width="3.58203125" style="3" customWidth="1"/>
    <col min="11" max="11" width="13" style="21" bestFit="1" customWidth="1"/>
    <col min="12" max="12" width="12.25" style="21" bestFit="1" customWidth="1"/>
    <col min="13" max="13" width="1.58203125" style="21" customWidth="1"/>
    <col min="14" max="14" width="11.25" style="21" customWidth="1"/>
    <col min="15" max="21" width="11.25" style="3" customWidth="1"/>
    <col min="22" max="16384" width="9" style="3"/>
  </cols>
  <sheetData>
    <row r="1" spans="2:21" s="16" customFormat="1" ht="32.5" x14ac:dyDescent="0.55000000000000004">
      <c r="B1" s="12" t="s">
        <v>30</v>
      </c>
      <c r="D1" s="27"/>
      <c r="K1" s="21"/>
      <c r="L1" s="21"/>
      <c r="M1" s="21"/>
      <c r="N1" s="21"/>
    </row>
    <row r="2" spans="2:21" s="16" customFormat="1" x14ac:dyDescent="0.55000000000000004">
      <c r="B2" s="68" t="s">
        <v>37</v>
      </c>
      <c r="C2" s="68"/>
      <c r="D2" s="40"/>
      <c r="F2" s="28" t="s">
        <v>80</v>
      </c>
      <c r="G2" s="42"/>
      <c r="H2" s="29"/>
      <c r="I2" s="30"/>
      <c r="K2" s="21"/>
      <c r="L2" s="21"/>
      <c r="M2" s="21"/>
      <c r="N2" s="21"/>
    </row>
    <row r="3" spans="2:21" s="16" customFormat="1" x14ac:dyDescent="0.55000000000000004">
      <c r="B3" s="68" t="s">
        <v>75</v>
      </c>
      <c r="C3" s="68"/>
      <c r="D3" s="40"/>
      <c r="F3" s="28" t="s">
        <v>39</v>
      </c>
      <c r="G3" s="42"/>
      <c r="H3" s="29"/>
      <c r="I3" s="30"/>
      <c r="K3" s="21"/>
      <c r="L3" s="21"/>
      <c r="M3" s="21"/>
      <c r="N3" s="21"/>
      <c r="P3" s="22"/>
      <c r="Q3" s="73"/>
      <c r="R3" s="73"/>
      <c r="S3" s="73"/>
      <c r="T3" s="73"/>
    </row>
    <row r="4" spans="2:21" s="16" customFormat="1" x14ac:dyDescent="0.55000000000000004">
      <c r="B4" s="68" t="s">
        <v>38</v>
      </c>
      <c r="C4" s="68"/>
      <c r="D4" s="41"/>
      <c r="F4" s="28" t="s">
        <v>78</v>
      </c>
      <c r="G4" s="42"/>
      <c r="H4" s="43"/>
      <c r="I4" s="43"/>
      <c r="K4" s="21"/>
      <c r="L4" s="21"/>
      <c r="M4" s="21"/>
      <c r="N4" s="21"/>
      <c r="P4" s="22"/>
      <c r="Q4" s="22"/>
      <c r="R4" s="22"/>
      <c r="S4" s="66"/>
      <c r="T4" s="66"/>
      <c r="U4" s="45"/>
    </row>
    <row r="5" spans="2:21" s="16" customFormat="1" x14ac:dyDescent="0.55000000000000004">
      <c r="B5" s="68" t="s">
        <v>77</v>
      </c>
      <c r="C5" s="68"/>
      <c r="D5" s="40"/>
      <c r="F5" s="28" t="s">
        <v>79</v>
      </c>
      <c r="G5" s="42"/>
      <c r="H5" s="33"/>
      <c r="I5" s="33"/>
      <c r="K5" s="21"/>
      <c r="L5" s="21"/>
      <c r="M5" s="21"/>
      <c r="N5" s="21"/>
      <c r="P5" s="22"/>
      <c r="Q5" s="22"/>
      <c r="R5" s="22"/>
      <c r="S5" s="67"/>
      <c r="T5" s="67"/>
    </row>
    <row r="6" spans="2:21" s="16" customFormat="1" x14ac:dyDescent="0.55000000000000004">
      <c r="B6" s="68" t="s">
        <v>114</v>
      </c>
      <c r="C6" s="68"/>
      <c r="D6" s="58">
        <v>10</v>
      </c>
      <c r="F6" s="31" t="s">
        <v>81</v>
      </c>
      <c r="G6" s="42"/>
      <c r="H6" s="62"/>
      <c r="I6" s="64"/>
      <c r="J6" s="74"/>
      <c r="K6" s="74"/>
      <c r="L6" s="65"/>
      <c r="M6" s="21"/>
      <c r="N6" s="21"/>
      <c r="O6" s="1"/>
      <c r="P6" s="22"/>
      <c r="Q6" s="22"/>
      <c r="R6" s="22"/>
      <c r="S6" s="67"/>
      <c r="T6" s="67"/>
    </row>
    <row r="7" spans="2:21" s="16" customFormat="1" x14ac:dyDescent="0.55000000000000004">
      <c r="B7" s="68"/>
      <c r="C7" s="68"/>
      <c r="D7" s="58"/>
      <c r="F7" s="31"/>
      <c r="G7" s="134"/>
      <c r="H7" s="63"/>
      <c r="I7" s="64"/>
      <c r="J7" s="74"/>
      <c r="K7" s="74"/>
      <c r="L7" s="65"/>
      <c r="M7" s="21"/>
      <c r="N7" s="21"/>
      <c r="P7" s="22"/>
      <c r="Q7" s="22"/>
      <c r="R7" s="22"/>
      <c r="S7" s="67"/>
      <c r="T7" s="67"/>
    </row>
    <row r="8" spans="2:21" s="16" customFormat="1" x14ac:dyDescent="0.55000000000000004">
      <c r="B8" s="135" t="s">
        <v>115</v>
      </c>
      <c r="C8" s="135"/>
      <c r="F8" s="34"/>
      <c r="G8" s="47"/>
      <c r="H8" s="32"/>
      <c r="I8" s="34"/>
      <c r="K8" s="21"/>
      <c r="L8" s="21"/>
      <c r="M8" s="21"/>
      <c r="N8" s="21"/>
    </row>
    <row r="9" spans="2:21" s="16" customFormat="1" x14ac:dyDescent="0.55000000000000004">
      <c r="F9" s="1"/>
      <c r="K9" s="21"/>
      <c r="L9" s="21"/>
      <c r="M9" s="21"/>
      <c r="N9" s="21"/>
    </row>
    <row r="10" spans="2:21" ht="32.5" x14ac:dyDescent="0.55000000000000004">
      <c r="B10" s="12" t="s">
        <v>44</v>
      </c>
      <c r="O10" s="35"/>
      <c r="P10" s="22"/>
      <c r="Q10" s="22"/>
      <c r="R10" s="22"/>
    </row>
    <row r="11" spans="2:21" x14ac:dyDescent="0.55000000000000004">
      <c r="B11" s="4" t="s">
        <v>12</v>
      </c>
      <c r="C11" s="4" t="s">
        <v>14</v>
      </c>
      <c r="D11" s="4" t="s">
        <v>13</v>
      </c>
      <c r="E11" s="4" t="s">
        <v>19</v>
      </c>
      <c r="F11" s="104" t="s">
        <v>23</v>
      </c>
      <c r="G11" s="87"/>
      <c r="H11" s="4" t="s">
        <v>9</v>
      </c>
      <c r="I11" s="4" t="s">
        <v>11</v>
      </c>
      <c r="O11" s="22"/>
      <c r="P11" s="22"/>
      <c r="Q11" s="22"/>
      <c r="R11" s="22"/>
    </row>
    <row r="12" spans="2:21" ht="20" customHeight="1" x14ac:dyDescent="0.55000000000000004">
      <c r="B12" s="80" t="s">
        <v>1</v>
      </c>
      <c r="C12" s="98" t="s">
        <v>10</v>
      </c>
      <c r="D12" s="19" t="s">
        <v>45</v>
      </c>
      <c r="E12" s="4" t="s">
        <v>21</v>
      </c>
      <c r="F12" s="77" t="s">
        <v>101</v>
      </c>
      <c r="G12" s="78"/>
      <c r="H12" s="58">
        <f>1.361*D2^0.38*100</f>
        <v>0</v>
      </c>
      <c r="I12" s="11" t="s">
        <v>35</v>
      </c>
      <c r="O12" s="22"/>
      <c r="P12" s="22"/>
      <c r="Q12" s="36"/>
      <c r="R12" s="22"/>
    </row>
    <row r="13" spans="2:21" ht="19.5" customHeight="1" x14ac:dyDescent="0.55000000000000004">
      <c r="B13" s="130"/>
      <c r="C13" s="113"/>
      <c r="D13" s="9" t="s">
        <v>2</v>
      </c>
      <c r="E13" s="4" t="s">
        <v>21</v>
      </c>
      <c r="F13" s="77" t="s">
        <v>102</v>
      </c>
      <c r="G13" s="78"/>
      <c r="H13" s="58">
        <f>1.888*D2^0.597*100</f>
        <v>0</v>
      </c>
      <c r="I13" s="11" t="s">
        <v>48</v>
      </c>
      <c r="J13" s="44"/>
      <c r="O13" s="75"/>
      <c r="P13" s="38"/>
      <c r="Q13" s="36"/>
      <c r="R13" s="76"/>
    </row>
    <row r="14" spans="2:21" ht="19.5" customHeight="1" x14ac:dyDescent="0.55000000000000004">
      <c r="B14" s="130"/>
      <c r="C14" s="113"/>
      <c r="D14" s="9" t="s">
        <v>3</v>
      </c>
      <c r="E14" s="4" t="s">
        <v>21</v>
      </c>
      <c r="F14" s="77" t="s">
        <v>54</v>
      </c>
      <c r="G14" s="78"/>
      <c r="H14" s="58">
        <f>0.726*D2^0.539*100</f>
        <v>0</v>
      </c>
      <c r="I14" s="11" t="s">
        <v>49</v>
      </c>
      <c r="O14" s="75"/>
      <c r="P14" s="38"/>
      <c r="Q14" s="36"/>
      <c r="R14" s="76"/>
    </row>
    <row r="15" spans="2:21" ht="19.5" customHeight="1" x14ac:dyDescent="0.55000000000000004">
      <c r="B15" s="130"/>
      <c r="C15" s="113"/>
      <c r="D15" s="4" t="s">
        <v>8</v>
      </c>
      <c r="E15" s="4" t="s">
        <v>21</v>
      </c>
      <c r="F15" s="77" t="s">
        <v>24</v>
      </c>
      <c r="G15" s="78"/>
      <c r="H15" s="58">
        <f>+H12+H13+H14</f>
        <v>0</v>
      </c>
      <c r="I15" s="11" t="s">
        <v>25</v>
      </c>
      <c r="O15" s="75"/>
      <c r="P15" s="38"/>
      <c r="Q15" s="36"/>
      <c r="R15" s="22"/>
    </row>
    <row r="16" spans="2:21" ht="19.5" customHeight="1" x14ac:dyDescent="0.55000000000000004">
      <c r="B16" s="130"/>
      <c r="C16" s="113"/>
      <c r="D16" s="80" t="s">
        <v>4</v>
      </c>
      <c r="E16" s="80" t="s">
        <v>22</v>
      </c>
      <c r="F16" s="122" t="s">
        <v>103</v>
      </c>
      <c r="G16" s="123"/>
      <c r="H16" s="88">
        <f>H12*L16/100*(1+L16/100)^L19/((1+L16/100)^L19-1)+H13*L16/100*(1+L16/100)^L20/((1+L16/100)^L20-1)+H14*L16/100*(1+L16/100)^L22/((1+L16/100)^L22-1)</f>
        <v>0</v>
      </c>
      <c r="I16" s="90" t="s">
        <v>34</v>
      </c>
      <c r="K16" s="46" t="s">
        <v>42</v>
      </c>
      <c r="L16" s="40">
        <v>2.2999999999999998</v>
      </c>
      <c r="O16" s="75"/>
      <c r="P16" s="75"/>
      <c r="Q16" s="7"/>
      <c r="R16" s="22"/>
    </row>
    <row r="17" spans="2:18" s="21" customFormat="1" ht="19.5" customHeight="1" x14ac:dyDescent="0.55000000000000004">
      <c r="B17" s="130"/>
      <c r="C17" s="113"/>
      <c r="D17" s="81"/>
      <c r="E17" s="81"/>
      <c r="F17" s="114"/>
      <c r="G17" s="115"/>
      <c r="H17" s="89"/>
      <c r="I17" s="91"/>
      <c r="K17" s="24"/>
      <c r="L17" s="22"/>
      <c r="O17" s="38"/>
      <c r="P17" s="38"/>
      <c r="Q17" s="7"/>
      <c r="R17" s="22"/>
    </row>
    <row r="18" spans="2:18" s="21" customFormat="1" ht="19.5" customHeight="1" x14ac:dyDescent="0.55000000000000004">
      <c r="B18" s="130"/>
      <c r="C18" s="113"/>
      <c r="D18" s="90" t="s">
        <v>40</v>
      </c>
      <c r="E18" s="80" t="s">
        <v>22</v>
      </c>
      <c r="F18" s="82" t="s">
        <v>104</v>
      </c>
      <c r="G18" s="83"/>
      <c r="H18" s="92">
        <f>0.287*D4^0.673</f>
        <v>0</v>
      </c>
      <c r="I18" s="98" t="s">
        <v>36</v>
      </c>
      <c r="K18" s="68" t="s">
        <v>43</v>
      </c>
      <c r="L18" s="68"/>
      <c r="O18" s="38"/>
      <c r="P18" s="38"/>
      <c r="Q18" s="7"/>
      <c r="R18" s="22"/>
    </row>
    <row r="19" spans="2:18" ht="19.5" customHeight="1" x14ac:dyDescent="0.55000000000000004">
      <c r="B19" s="130"/>
      <c r="C19" s="113"/>
      <c r="D19" s="91"/>
      <c r="E19" s="81"/>
      <c r="F19" s="84"/>
      <c r="G19" s="85"/>
      <c r="H19" s="93"/>
      <c r="I19" s="99"/>
      <c r="K19" s="20" t="s">
        <v>33</v>
      </c>
      <c r="L19" s="40">
        <v>45</v>
      </c>
      <c r="O19" s="38"/>
      <c r="P19" s="38"/>
      <c r="Q19" s="22"/>
      <c r="R19" s="22"/>
    </row>
    <row r="20" spans="2:18" s="21" customFormat="1" ht="9.75" customHeight="1" x14ac:dyDescent="0.55000000000000004">
      <c r="B20" s="130"/>
      <c r="C20" s="113"/>
      <c r="D20" s="107" t="s">
        <v>41</v>
      </c>
      <c r="E20" s="80" t="s">
        <v>22</v>
      </c>
      <c r="F20" s="82" t="s">
        <v>24</v>
      </c>
      <c r="G20" s="83"/>
      <c r="H20" s="92">
        <f>+H16+H18</f>
        <v>0</v>
      </c>
      <c r="I20" s="111" t="s">
        <v>26</v>
      </c>
      <c r="K20" s="80" t="s">
        <v>32</v>
      </c>
      <c r="L20" s="109">
        <v>20</v>
      </c>
      <c r="O20" s="38"/>
      <c r="P20" s="38"/>
      <c r="Q20" s="22"/>
      <c r="R20" s="22"/>
    </row>
    <row r="21" spans="2:18" ht="9.75" customHeight="1" x14ac:dyDescent="0.55000000000000004">
      <c r="B21" s="130"/>
      <c r="C21" s="99"/>
      <c r="D21" s="108"/>
      <c r="E21" s="81"/>
      <c r="F21" s="84"/>
      <c r="G21" s="85"/>
      <c r="H21" s="93"/>
      <c r="I21" s="112"/>
      <c r="K21" s="81"/>
      <c r="L21" s="110"/>
      <c r="O21" s="13"/>
      <c r="P21" s="38"/>
      <c r="Q21" s="22"/>
      <c r="R21" s="22"/>
    </row>
    <row r="22" spans="2:18" s="50" customFormat="1" ht="20" customHeight="1" x14ac:dyDescent="0.55000000000000004">
      <c r="B22" s="130"/>
      <c r="C22" s="98" t="s">
        <v>46</v>
      </c>
      <c r="D22" s="19" t="s">
        <v>47</v>
      </c>
      <c r="E22" s="49" t="s">
        <v>21</v>
      </c>
      <c r="F22" s="77" t="s">
        <v>105</v>
      </c>
      <c r="G22" s="78"/>
      <c r="H22" s="58">
        <f>2.7774*D2^0.5122*100</f>
        <v>0</v>
      </c>
      <c r="I22" s="11" t="s">
        <v>50</v>
      </c>
      <c r="K22" s="49" t="s">
        <v>6</v>
      </c>
      <c r="L22" s="40">
        <v>20</v>
      </c>
      <c r="O22" s="22"/>
      <c r="P22" s="22"/>
      <c r="Q22" s="36"/>
      <c r="R22" s="22"/>
    </row>
    <row r="23" spans="2:18" s="50" customFormat="1" ht="19.5" customHeight="1" x14ac:dyDescent="0.55000000000000004">
      <c r="B23" s="130"/>
      <c r="C23" s="113"/>
      <c r="D23" s="49" t="s">
        <v>8</v>
      </c>
      <c r="E23" s="49" t="s">
        <v>21</v>
      </c>
      <c r="F23" s="77" t="s">
        <v>24</v>
      </c>
      <c r="G23" s="78"/>
      <c r="H23" s="58">
        <f>+H22</f>
        <v>0</v>
      </c>
      <c r="I23" s="11" t="s">
        <v>31</v>
      </c>
      <c r="O23" s="52"/>
      <c r="P23" s="52"/>
      <c r="Q23" s="36"/>
      <c r="R23" s="22"/>
    </row>
    <row r="24" spans="2:18" s="50" customFormat="1" ht="19.5" customHeight="1" x14ac:dyDescent="0.55000000000000004">
      <c r="B24" s="130"/>
      <c r="C24" s="113"/>
      <c r="D24" s="80" t="s">
        <v>4</v>
      </c>
      <c r="E24" s="80" t="s">
        <v>22</v>
      </c>
      <c r="F24" s="122" t="s">
        <v>103</v>
      </c>
      <c r="G24" s="123"/>
      <c r="H24" s="88">
        <f>H23*L24/100*(1+L24/100)^L27/((1+L24/100)^L27-1)</f>
        <v>0</v>
      </c>
      <c r="I24" s="90" t="s">
        <v>51</v>
      </c>
      <c r="K24" s="49" t="s">
        <v>42</v>
      </c>
      <c r="L24" s="40">
        <v>2.2999999999999998</v>
      </c>
      <c r="O24" s="75"/>
      <c r="P24" s="75"/>
      <c r="Q24" s="7"/>
      <c r="R24" s="22"/>
    </row>
    <row r="25" spans="2:18" s="50" customFormat="1" ht="19.5" customHeight="1" x14ac:dyDescent="0.55000000000000004">
      <c r="B25" s="130"/>
      <c r="C25" s="113"/>
      <c r="D25" s="81"/>
      <c r="E25" s="81"/>
      <c r="F25" s="114"/>
      <c r="G25" s="115"/>
      <c r="H25" s="89"/>
      <c r="I25" s="91"/>
      <c r="K25" s="24"/>
      <c r="L25" s="22"/>
      <c r="O25" s="52"/>
      <c r="P25" s="52"/>
      <c r="Q25" s="7"/>
      <c r="R25" s="22"/>
    </row>
    <row r="26" spans="2:18" s="50" customFormat="1" ht="19.5" customHeight="1" x14ac:dyDescent="0.55000000000000004">
      <c r="B26" s="130"/>
      <c r="C26" s="113"/>
      <c r="D26" s="90" t="s">
        <v>40</v>
      </c>
      <c r="E26" s="80" t="s">
        <v>22</v>
      </c>
      <c r="F26" s="82" t="s">
        <v>55</v>
      </c>
      <c r="G26" s="83"/>
      <c r="H26" s="92">
        <f>1.8697*D2+96.31</f>
        <v>96.31</v>
      </c>
      <c r="I26" s="98" t="s">
        <v>53</v>
      </c>
      <c r="K26" s="68" t="s">
        <v>43</v>
      </c>
      <c r="L26" s="68"/>
      <c r="O26" s="52"/>
      <c r="P26" s="52"/>
      <c r="Q26" s="7"/>
      <c r="R26" s="22"/>
    </row>
    <row r="27" spans="2:18" s="50" customFormat="1" ht="19.5" customHeight="1" x14ac:dyDescent="0.55000000000000004">
      <c r="B27" s="130"/>
      <c r="C27" s="113"/>
      <c r="D27" s="91"/>
      <c r="E27" s="81"/>
      <c r="F27" s="84"/>
      <c r="G27" s="85"/>
      <c r="H27" s="93"/>
      <c r="I27" s="99"/>
      <c r="K27" s="49" t="s">
        <v>46</v>
      </c>
      <c r="L27" s="40">
        <v>20</v>
      </c>
      <c r="O27" s="52"/>
      <c r="P27" s="52"/>
      <c r="Q27" s="22"/>
      <c r="R27" s="22"/>
    </row>
    <row r="28" spans="2:18" s="50" customFormat="1" ht="9.75" customHeight="1" x14ac:dyDescent="0.55000000000000004">
      <c r="B28" s="130"/>
      <c r="C28" s="113"/>
      <c r="D28" s="107" t="s">
        <v>41</v>
      </c>
      <c r="E28" s="80" t="s">
        <v>22</v>
      </c>
      <c r="F28" s="82" t="s">
        <v>24</v>
      </c>
      <c r="G28" s="83"/>
      <c r="H28" s="92">
        <f>+H24+H26</f>
        <v>96.31</v>
      </c>
      <c r="I28" s="111" t="s">
        <v>52</v>
      </c>
      <c r="K28" s="75"/>
      <c r="L28" s="75"/>
      <c r="O28" s="52"/>
      <c r="P28" s="52"/>
      <c r="Q28" s="22"/>
      <c r="R28" s="22"/>
    </row>
    <row r="29" spans="2:18" s="50" customFormat="1" ht="9.75" customHeight="1" x14ac:dyDescent="0.55000000000000004">
      <c r="B29" s="81"/>
      <c r="C29" s="99"/>
      <c r="D29" s="108"/>
      <c r="E29" s="81"/>
      <c r="F29" s="84"/>
      <c r="G29" s="85"/>
      <c r="H29" s="93"/>
      <c r="I29" s="112"/>
      <c r="K29" s="75"/>
      <c r="L29" s="75"/>
      <c r="O29" s="13"/>
      <c r="P29" s="52"/>
      <c r="Q29" s="22"/>
      <c r="R29" s="22"/>
    </row>
    <row r="30" spans="2:18" ht="19.5" customHeight="1" x14ac:dyDescent="0.55000000000000004">
      <c r="B30" s="98" t="s">
        <v>5</v>
      </c>
      <c r="C30" s="79" t="s">
        <v>46</v>
      </c>
      <c r="D30" s="19" t="s">
        <v>45</v>
      </c>
      <c r="E30" s="4" t="s">
        <v>21</v>
      </c>
      <c r="F30" s="77" t="s">
        <v>106</v>
      </c>
      <c r="G30" s="78"/>
      <c r="H30" s="58">
        <f>0.123*D2^0.941*100</f>
        <v>0</v>
      </c>
      <c r="I30" s="11" t="s">
        <v>70</v>
      </c>
      <c r="K30" s="52"/>
      <c r="L30" s="52"/>
      <c r="O30" s="38"/>
      <c r="P30" s="38"/>
      <c r="Q30" s="22"/>
      <c r="R30" s="22"/>
    </row>
    <row r="31" spans="2:18" ht="19.5" customHeight="1" x14ac:dyDescent="0.55000000000000004">
      <c r="B31" s="113"/>
      <c r="C31" s="79"/>
      <c r="D31" s="51" t="s">
        <v>2</v>
      </c>
      <c r="E31" s="4" t="s">
        <v>21</v>
      </c>
      <c r="F31" s="77" t="s">
        <v>107</v>
      </c>
      <c r="G31" s="78"/>
      <c r="H31" s="58">
        <f>10.34*(D2/30)^0.7*100</f>
        <v>0</v>
      </c>
      <c r="I31" s="11" t="s">
        <v>71</v>
      </c>
      <c r="O31" s="38"/>
      <c r="P31" s="38"/>
      <c r="Q31" s="36"/>
      <c r="R31" s="22"/>
    </row>
    <row r="32" spans="2:18" ht="19.5" customHeight="1" x14ac:dyDescent="0.55000000000000004">
      <c r="B32" s="113"/>
      <c r="C32" s="79"/>
      <c r="D32" s="51" t="s">
        <v>3</v>
      </c>
      <c r="E32" s="4" t="s">
        <v>21</v>
      </c>
      <c r="F32" s="77" t="s">
        <v>108</v>
      </c>
      <c r="G32" s="78"/>
      <c r="H32" s="58">
        <f>1.42*(D2/30)^0.7*100</f>
        <v>0</v>
      </c>
      <c r="I32" s="11" t="s">
        <v>72</v>
      </c>
      <c r="O32" s="38"/>
      <c r="P32" s="38"/>
      <c r="Q32" s="36"/>
      <c r="R32" s="22"/>
    </row>
    <row r="33" spans="2:18" ht="19.5" customHeight="1" x14ac:dyDescent="0.55000000000000004">
      <c r="B33" s="113"/>
      <c r="C33" s="79"/>
      <c r="D33" s="4" t="s">
        <v>8</v>
      </c>
      <c r="E33" s="4" t="s">
        <v>21</v>
      </c>
      <c r="F33" s="77" t="s">
        <v>24</v>
      </c>
      <c r="G33" s="78"/>
      <c r="H33" s="58">
        <f>+H30+H31+H32</f>
        <v>0</v>
      </c>
      <c r="I33" s="11" t="s">
        <v>73</v>
      </c>
      <c r="O33" s="75"/>
      <c r="P33" s="75"/>
      <c r="Q33" s="36"/>
      <c r="R33" s="22"/>
    </row>
    <row r="34" spans="2:18" s="21" customFormat="1" ht="19.5" customHeight="1" x14ac:dyDescent="0.55000000000000004">
      <c r="B34" s="113"/>
      <c r="C34" s="79"/>
      <c r="D34" s="80" t="s">
        <v>4</v>
      </c>
      <c r="E34" s="80" t="s">
        <v>22</v>
      </c>
      <c r="F34" s="82" t="s">
        <v>109</v>
      </c>
      <c r="G34" s="83"/>
      <c r="H34" s="94">
        <f>H30*L34/100*(1+L34/100)^L37/((1+L34/100)^L37-1)+H31*L34/100*(1+L34/100)^L38/((1+L34/100)^L38-1)+H32*L34/100*(1+L34/100)^L39/((1+L34/100)^L39-1)</f>
        <v>0</v>
      </c>
      <c r="I34" s="90" t="s">
        <v>74</v>
      </c>
      <c r="K34" s="46" t="s">
        <v>42</v>
      </c>
      <c r="L34" s="40">
        <v>2.2999999999999998</v>
      </c>
      <c r="O34" s="38"/>
      <c r="P34" s="38"/>
      <c r="Q34" s="36"/>
      <c r="R34" s="22"/>
    </row>
    <row r="35" spans="2:18" ht="19.5" customHeight="1" x14ac:dyDescent="0.55000000000000004">
      <c r="B35" s="113"/>
      <c r="C35" s="79"/>
      <c r="D35" s="81"/>
      <c r="E35" s="81"/>
      <c r="F35" s="84"/>
      <c r="G35" s="85"/>
      <c r="H35" s="95"/>
      <c r="I35" s="91"/>
      <c r="K35" s="24"/>
      <c r="L35" s="22"/>
      <c r="O35" s="75"/>
      <c r="P35" s="75"/>
      <c r="Q35" s="37"/>
      <c r="R35" s="22"/>
    </row>
    <row r="36" spans="2:18" s="21" customFormat="1" ht="19.5" customHeight="1" x14ac:dyDescent="0.55000000000000004">
      <c r="B36" s="113"/>
      <c r="C36" s="79"/>
      <c r="D36" s="113" t="s">
        <v>56</v>
      </c>
      <c r="E36" s="80" t="s">
        <v>22</v>
      </c>
      <c r="F36" s="122" t="s">
        <v>110</v>
      </c>
      <c r="G36" s="123"/>
      <c r="H36" s="118" t="e">
        <f>(10.112*LN(D2)+65.447)*D3*G2*G3*10^-6</f>
        <v>#NUM!</v>
      </c>
      <c r="I36" s="90" t="s">
        <v>76</v>
      </c>
      <c r="K36" s="68" t="s">
        <v>43</v>
      </c>
      <c r="L36" s="68"/>
      <c r="O36" s="38"/>
      <c r="P36" s="38"/>
      <c r="Q36" s="7"/>
      <c r="R36" s="22"/>
    </row>
    <row r="37" spans="2:18" ht="21" customHeight="1" x14ac:dyDescent="0.55000000000000004">
      <c r="B37" s="113"/>
      <c r="C37" s="79"/>
      <c r="D37" s="99"/>
      <c r="E37" s="81"/>
      <c r="F37" s="114"/>
      <c r="G37" s="115"/>
      <c r="H37" s="119"/>
      <c r="I37" s="99"/>
      <c r="K37" s="55" t="s">
        <v>33</v>
      </c>
      <c r="L37" s="40">
        <v>45</v>
      </c>
      <c r="O37" s="39"/>
      <c r="P37" s="39"/>
      <c r="Q37" s="7"/>
      <c r="R37" s="5"/>
    </row>
    <row r="38" spans="2:18" ht="21" customHeight="1" x14ac:dyDescent="0.55000000000000004">
      <c r="B38" s="113"/>
      <c r="C38" s="79"/>
      <c r="D38" s="113" t="s">
        <v>57</v>
      </c>
      <c r="E38" s="120" t="s">
        <v>58</v>
      </c>
      <c r="F38" s="125" t="s">
        <v>59</v>
      </c>
      <c r="G38" s="126"/>
      <c r="H38" s="100">
        <f>2.5*D3*(1-(1-D5/100)/(1-D6/100))*1000*1.8</f>
        <v>0</v>
      </c>
      <c r="I38" s="102"/>
      <c r="K38" s="55" t="s">
        <v>32</v>
      </c>
      <c r="L38" s="40">
        <v>20</v>
      </c>
      <c r="Q38" s="7"/>
      <c r="R38" s="5"/>
    </row>
    <row r="39" spans="2:18" s="21" customFormat="1" ht="21" customHeight="1" x14ac:dyDescent="0.55000000000000004">
      <c r="B39" s="113"/>
      <c r="C39" s="79"/>
      <c r="D39" s="113"/>
      <c r="E39" s="124"/>
      <c r="F39" s="127"/>
      <c r="G39" s="128"/>
      <c r="H39" s="101"/>
      <c r="I39" s="103"/>
      <c r="K39" s="55" t="s">
        <v>6</v>
      </c>
      <c r="L39" s="40">
        <v>20</v>
      </c>
      <c r="Q39" s="7"/>
      <c r="R39" s="22"/>
    </row>
    <row r="40" spans="2:18" ht="39" customHeight="1" x14ac:dyDescent="0.55000000000000004">
      <c r="B40" s="113"/>
      <c r="C40" s="79"/>
      <c r="D40" s="113"/>
      <c r="E40" s="10" t="s">
        <v>60</v>
      </c>
      <c r="F40" s="77" t="s">
        <v>111</v>
      </c>
      <c r="G40" s="78"/>
      <c r="H40" s="58">
        <f>G4*22.5</f>
        <v>0</v>
      </c>
      <c r="I40" s="11"/>
      <c r="O40" s="13"/>
      <c r="P40" s="2"/>
      <c r="Q40" s="2"/>
      <c r="R40" s="5"/>
    </row>
    <row r="41" spans="2:18" s="21" customFormat="1" ht="19.5" customHeight="1" x14ac:dyDescent="0.55000000000000004">
      <c r="B41" s="113"/>
      <c r="C41" s="79"/>
      <c r="D41" s="113"/>
      <c r="E41" s="120" t="s">
        <v>61</v>
      </c>
      <c r="F41" s="82" t="s">
        <v>112</v>
      </c>
      <c r="G41" s="83"/>
      <c r="H41" s="92">
        <f>G5*0.2149</f>
        <v>0</v>
      </c>
      <c r="I41" s="96"/>
      <c r="K41" s="57"/>
      <c r="L41" s="53"/>
      <c r="O41" s="13"/>
      <c r="P41" s="2"/>
      <c r="Q41" s="2"/>
      <c r="R41" s="22"/>
    </row>
    <row r="42" spans="2:18" ht="19.5" customHeight="1" x14ac:dyDescent="0.55000000000000004">
      <c r="B42" s="113"/>
      <c r="C42" s="79"/>
      <c r="D42" s="113"/>
      <c r="E42" s="121"/>
      <c r="F42" s="84"/>
      <c r="G42" s="85"/>
      <c r="H42" s="93"/>
      <c r="I42" s="97"/>
      <c r="K42" s="22"/>
      <c r="L42" s="22"/>
      <c r="O42" s="75"/>
      <c r="P42" s="75"/>
      <c r="Q42" s="2"/>
      <c r="R42" s="5"/>
    </row>
    <row r="43" spans="2:18" s="21" customFormat="1" ht="19.5" customHeight="1" x14ac:dyDescent="0.55000000000000004">
      <c r="B43" s="113"/>
      <c r="C43" s="79"/>
      <c r="D43" s="113"/>
      <c r="E43" s="80" t="s">
        <v>22</v>
      </c>
      <c r="F43" s="122" t="s">
        <v>113</v>
      </c>
      <c r="G43" s="83"/>
      <c r="H43" s="116">
        <f>(H38-H40-H41)*39.1*G2*G6*10^-6</f>
        <v>0</v>
      </c>
      <c r="I43" s="98" t="s">
        <v>27</v>
      </c>
      <c r="K43" s="57"/>
      <c r="L43" s="53"/>
      <c r="O43" s="2"/>
      <c r="P43" s="2"/>
      <c r="Q43" s="2"/>
      <c r="R43" s="22"/>
    </row>
    <row r="44" spans="2:18" ht="19.5" customHeight="1" x14ac:dyDescent="0.55000000000000004">
      <c r="B44" s="113"/>
      <c r="C44" s="79"/>
      <c r="D44" s="99"/>
      <c r="E44" s="81"/>
      <c r="F44" s="84"/>
      <c r="G44" s="85"/>
      <c r="H44" s="117"/>
      <c r="I44" s="99"/>
      <c r="K44" s="22"/>
      <c r="L44" s="22"/>
      <c r="O44" s="75"/>
      <c r="P44" s="75"/>
      <c r="Q44" s="2"/>
    </row>
    <row r="45" spans="2:18" ht="36" customHeight="1" x14ac:dyDescent="0.55000000000000004">
      <c r="B45" s="113"/>
      <c r="C45" s="79"/>
      <c r="D45" s="48" t="s">
        <v>63</v>
      </c>
      <c r="E45" s="49" t="s">
        <v>22</v>
      </c>
      <c r="F45" s="114" t="s">
        <v>64</v>
      </c>
      <c r="G45" s="115"/>
      <c r="H45" s="59"/>
      <c r="I45" s="54" t="s">
        <v>82</v>
      </c>
      <c r="K45" s="22"/>
      <c r="L45" s="53"/>
      <c r="O45" s="75"/>
      <c r="P45" s="75"/>
      <c r="Q45" s="2"/>
      <c r="R45" s="2"/>
    </row>
    <row r="46" spans="2:18" ht="19.5" customHeight="1" x14ac:dyDescent="0.55000000000000004">
      <c r="B46" s="113"/>
      <c r="C46" s="79"/>
      <c r="D46" s="9" t="s">
        <v>62</v>
      </c>
      <c r="E46" s="4" t="s">
        <v>22</v>
      </c>
      <c r="F46" s="77" t="s">
        <v>65</v>
      </c>
      <c r="G46" s="78"/>
      <c r="H46" s="60">
        <f>H34*0.02</f>
        <v>0</v>
      </c>
      <c r="I46" s="11" t="s">
        <v>83</v>
      </c>
      <c r="O46" s="2"/>
      <c r="P46" s="2"/>
      <c r="Q46" s="2"/>
      <c r="R46" s="2"/>
    </row>
    <row r="47" spans="2:18" ht="19.5" customHeight="1" x14ac:dyDescent="0.55000000000000004">
      <c r="B47" s="113"/>
      <c r="C47" s="79"/>
      <c r="D47" s="4" t="s">
        <v>7</v>
      </c>
      <c r="E47" s="4" t="s">
        <v>22</v>
      </c>
      <c r="F47" s="77" t="s">
        <v>24</v>
      </c>
      <c r="G47" s="78"/>
      <c r="H47" s="60" t="e">
        <f>H36+H43+H45+H46</f>
        <v>#NUM!</v>
      </c>
      <c r="I47" s="11" t="s">
        <v>84</v>
      </c>
      <c r="O47" s="2"/>
      <c r="P47" s="2"/>
      <c r="Q47" s="2"/>
      <c r="R47" s="2"/>
    </row>
    <row r="48" spans="2:18" ht="19.5" customHeight="1" x14ac:dyDescent="0.55000000000000004">
      <c r="B48" s="113"/>
      <c r="C48" s="68" t="s">
        <v>66</v>
      </c>
      <c r="D48" s="68"/>
      <c r="E48" s="4" t="s">
        <v>22</v>
      </c>
      <c r="F48" s="77" t="s">
        <v>24</v>
      </c>
      <c r="G48" s="78"/>
      <c r="H48" s="58">
        <f>+H16+H34</f>
        <v>0</v>
      </c>
      <c r="I48" s="11" t="s">
        <v>85</v>
      </c>
    </row>
    <row r="49" spans="2:9" ht="19.5" customHeight="1" x14ac:dyDescent="0.55000000000000004">
      <c r="B49" s="113"/>
      <c r="C49" s="68" t="s">
        <v>67</v>
      </c>
      <c r="D49" s="68"/>
      <c r="E49" s="4" t="s">
        <v>22</v>
      </c>
      <c r="F49" s="77" t="s">
        <v>24</v>
      </c>
      <c r="G49" s="78"/>
      <c r="H49" s="58">
        <f>H34</f>
        <v>0</v>
      </c>
      <c r="I49" s="11" t="s">
        <v>86</v>
      </c>
    </row>
    <row r="50" spans="2:9" ht="19.5" customHeight="1" x14ac:dyDescent="0.55000000000000004">
      <c r="B50" s="99"/>
      <c r="C50" s="129" t="s">
        <v>41</v>
      </c>
      <c r="D50" s="129"/>
      <c r="E50" s="4" t="s">
        <v>22</v>
      </c>
      <c r="F50" s="77" t="s">
        <v>24</v>
      </c>
      <c r="G50" s="78"/>
      <c r="H50" s="58">
        <f>H48+H49</f>
        <v>0</v>
      </c>
      <c r="I50" s="8" t="s">
        <v>88</v>
      </c>
    </row>
    <row r="51" spans="2:9" ht="39" customHeight="1" x14ac:dyDescent="0.55000000000000004">
      <c r="B51" s="131" t="s">
        <v>68</v>
      </c>
      <c r="C51" s="132"/>
      <c r="D51" s="133"/>
      <c r="E51" s="15" t="s">
        <v>29</v>
      </c>
      <c r="F51" s="77" t="s">
        <v>24</v>
      </c>
      <c r="G51" s="78"/>
      <c r="H51" s="61" t="e">
        <f>(1-H50/H20)*100</f>
        <v>#DIV/0!</v>
      </c>
      <c r="I51" s="11" t="s">
        <v>87</v>
      </c>
    </row>
    <row r="52" spans="2:9" s="50" customFormat="1" ht="39" customHeight="1" x14ac:dyDescent="0.55000000000000004">
      <c r="B52" s="131" t="s">
        <v>69</v>
      </c>
      <c r="C52" s="132"/>
      <c r="D52" s="133"/>
      <c r="E52" s="25" t="s">
        <v>29</v>
      </c>
      <c r="F52" s="77" t="s">
        <v>24</v>
      </c>
      <c r="G52" s="78"/>
      <c r="H52" s="61">
        <f>(1-H50/H28)*100</f>
        <v>100</v>
      </c>
      <c r="I52" s="11" t="s">
        <v>89</v>
      </c>
    </row>
    <row r="53" spans="2:9" s="26" customFormat="1" ht="19.5" customHeight="1" x14ac:dyDescent="0.55000000000000004"/>
    <row r="54" spans="2:9" ht="32.5" x14ac:dyDescent="0.55000000000000004">
      <c r="B54" s="12" t="s">
        <v>15</v>
      </c>
    </row>
    <row r="55" spans="2:9" ht="19.5" customHeight="1" x14ac:dyDescent="0.55000000000000004">
      <c r="B55" s="68" t="s">
        <v>13</v>
      </c>
      <c r="C55" s="68"/>
      <c r="D55" s="68"/>
      <c r="E55" s="4" t="s">
        <v>19</v>
      </c>
      <c r="F55" s="104" t="s">
        <v>18</v>
      </c>
      <c r="G55" s="87"/>
      <c r="H55" s="14" t="s">
        <v>28</v>
      </c>
    </row>
    <row r="56" spans="2:9" ht="19.5" customHeight="1" x14ac:dyDescent="0.55000000000000004">
      <c r="B56" s="79" t="s">
        <v>0</v>
      </c>
      <c r="C56" s="79"/>
      <c r="D56" s="23" t="s">
        <v>92</v>
      </c>
      <c r="E56" s="4" t="s">
        <v>16</v>
      </c>
      <c r="F56" s="105">
        <f>H33</f>
        <v>0</v>
      </c>
      <c r="G56" s="106"/>
      <c r="H56" s="17" t="s">
        <v>90</v>
      </c>
    </row>
    <row r="57" spans="2:9" ht="19.5" customHeight="1" x14ac:dyDescent="0.55000000000000004">
      <c r="B57" s="79" t="s">
        <v>91</v>
      </c>
      <c r="C57" s="79"/>
      <c r="D57" s="23" t="s">
        <v>93</v>
      </c>
      <c r="E57" s="80" t="s">
        <v>17</v>
      </c>
      <c r="F57" s="86">
        <f>H18-H49</f>
        <v>0</v>
      </c>
      <c r="G57" s="87"/>
      <c r="H57" s="11" t="s">
        <v>95</v>
      </c>
    </row>
    <row r="58" spans="2:9" ht="19.5" customHeight="1" x14ac:dyDescent="0.55000000000000004">
      <c r="B58" s="79" t="s">
        <v>91</v>
      </c>
      <c r="C58" s="79"/>
      <c r="D58" s="23" t="s">
        <v>94</v>
      </c>
      <c r="E58" s="81"/>
      <c r="F58" s="86">
        <f>H26-H49</f>
        <v>96.31</v>
      </c>
      <c r="G58" s="87"/>
      <c r="H58" s="11" t="s">
        <v>96</v>
      </c>
    </row>
    <row r="59" spans="2:9" s="56" customFormat="1" ht="39" customHeight="1" x14ac:dyDescent="0.55000000000000004">
      <c r="B59" s="69" t="s">
        <v>97</v>
      </c>
      <c r="C59" s="70"/>
      <c r="D59" s="70"/>
      <c r="E59" s="25" t="s">
        <v>20</v>
      </c>
      <c r="F59" s="71" t="e">
        <f>F56/F57</f>
        <v>#DIV/0!</v>
      </c>
      <c r="G59" s="72"/>
      <c r="H59" s="18" t="s">
        <v>99</v>
      </c>
    </row>
    <row r="60" spans="2:9" ht="39" customHeight="1" x14ac:dyDescent="0.55000000000000004">
      <c r="B60" s="69" t="s">
        <v>98</v>
      </c>
      <c r="C60" s="70"/>
      <c r="D60" s="70"/>
      <c r="E60" s="6" t="s">
        <v>20</v>
      </c>
      <c r="F60" s="71">
        <f>F56/F58</f>
        <v>0</v>
      </c>
      <c r="G60" s="72"/>
      <c r="H60" s="18" t="s">
        <v>100</v>
      </c>
    </row>
    <row r="61" spans="2:9" ht="19.5" customHeight="1" x14ac:dyDescent="0.55000000000000004"/>
  </sheetData>
  <mergeCells count="122">
    <mergeCell ref="O24:P24"/>
    <mergeCell ref="D26:D27"/>
    <mergeCell ref="E26:E27"/>
    <mergeCell ref="F26:G27"/>
    <mergeCell ref="H26:H27"/>
    <mergeCell ref="I26:I27"/>
    <mergeCell ref="K26:L26"/>
    <mergeCell ref="D28:D29"/>
    <mergeCell ref="E28:E29"/>
    <mergeCell ref="F28:G29"/>
    <mergeCell ref="H28:H29"/>
    <mergeCell ref="I28:I29"/>
    <mergeCell ref="K28:K29"/>
    <mergeCell ref="L28:L29"/>
    <mergeCell ref="D24:D25"/>
    <mergeCell ref="E24:E25"/>
    <mergeCell ref="F24:G25"/>
    <mergeCell ref="H24:H25"/>
    <mergeCell ref="I24:I25"/>
    <mergeCell ref="B6:C6"/>
    <mergeCell ref="B7:C7"/>
    <mergeCell ref="E57:E58"/>
    <mergeCell ref="B58:C58"/>
    <mergeCell ref="B30:B50"/>
    <mergeCell ref="B51:D51"/>
    <mergeCell ref="H41:H42"/>
    <mergeCell ref="E43:E44"/>
    <mergeCell ref="F43:G44"/>
    <mergeCell ref="B60:D60"/>
    <mergeCell ref="C48:D48"/>
    <mergeCell ref="C50:D50"/>
    <mergeCell ref="B55:D55"/>
    <mergeCell ref="B56:C56"/>
    <mergeCell ref="D18:D19"/>
    <mergeCell ref="B12:B29"/>
    <mergeCell ref="B52:D52"/>
    <mergeCell ref="C22:C29"/>
    <mergeCell ref="C12:C21"/>
    <mergeCell ref="D16:D17"/>
    <mergeCell ref="D36:D37"/>
    <mergeCell ref="B2:C2"/>
    <mergeCell ref="F11:G11"/>
    <mergeCell ref="F12:G12"/>
    <mergeCell ref="F13:G13"/>
    <mergeCell ref="F14:G14"/>
    <mergeCell ref="F40:G40"/>
    <mergeCell ref="F18:G19"/>
    <mergeCell ref="F30:G30"/>
    <mergeCell ref="F31:G31"/>
    <mergeCell ref="F32:G32"/>
    <mergeCell ref="F23:G23"/>
    <mergeCell ref="F33:G33"/>
    <mergeCell ref="E16:E17"/>
    <mergeCell ref="E36:E37"/>
    <mergeCell ref="F36:G37"/>
    <mergeCell ref="E38:E39"/>
    <mergeCell ref="F38:G39"/>
    <mergeCell ref="F22:G22"/>
    <mergeCell ref="F16:G17"/>
    <mergeCell ref="F20:G21"/>
    <mergeCell ref="E18:E19"/>
    <mergeCell ref="B3:C3"/>
    <mergeCell ref="B4:C4"/>
    <mergeCell ref="B5:C5"/>
    <mergeCell ref="F60:G60"/>
    <mergeCell ref="F51:G51"/>
    <mergeCell ref="F55:G55"/>
    <mergeCell ref="F56:G56"/>
    <mergeCell ref="E20:E21"/>
    <mergeCell ref="D20:D21"/>
    <mergeCell ref="K20:K21"/>
    <mergeCell ref="L20:L21"/>
    <mergeCell ref="I20:I21"/>
    <mergeCell ref="F57:G57"/>
    <mergeCell ref="F48:G48"/>
    <mergeCell ref="C49:D49"/>
    <mergeCell ref="D38:D44"/>
    <mergeCell ref="C30:C47"/>
    <mergeCell ref="F45:G45"/>
    <mergeCell ref="F50:G50"/>
    <mergeCell ref="H43:H44"/>
    <mergeCell ref="H36:H37"/>
    <mergeCell ref="F52:G52"/>
    <mergeCell ref="F46:G46"/>
    <mergeCell ref="F47:G47"/>
    <mergeCell ref="H20:H21"/>
    <mergeCell ref="E41:E42"/>
    <mergeCell ref="F41:G42"/>
    <mergeCell ref="I16:I17"/>
    <mergeCell ref="H18:H19"/>
    <mergeCell ref="H34:H35"/>
    <mergeCell ref="I34:I35"/>
    <mergeCell ref="I41:I42"/>
    <mergeCell ref="I43:I44"/>
    <mergeCell ref="I36:I37"/>
    <mergeCell ref="H38:H39"/>
    <mergeCell ref="I38:I39"/>
    <mergeCell ref="I18:I19"/>
    <mergeCell ref="K18:L18"/>
    <mergeCell ref="K36:L36"/>
    <mergeCell ref="B59:D59"/>
    <mergeCell ref="F59:G59"/>
    <mergeCell ref="Q3:R3"/>
    <mergeCell ref="S3:T3"/>
    <mergeCell ref="J6:K6"/>
    <mergeCell ref="J7:K7"/>
    <mergeCell ref="O35:P35"/>
    <mergeCell ref="O45:P45"/>
    <mergeCell ref="O13:O15"/>
    <mergeCell ref="R13:R14"/>
    <mergeCell ref="O16:P16"/>
    <mergeCell ref="F15:G15"/>
    <mergeCell ref="B57:C57"/>
    <mergeCell ref="O42:P42"/>
    <mergeCell ref="O44:P44"/>
    <mergeCell ref="O33:P33"/>
    <mergeCell ref="D34:D35"/>
    <mergeCell ref="E34:E35"/>
    <mergeCell ref="F34:G35"/>
    <mergeCell ref="F49:G49"/>
    <mergeCell ref="F58:G58"/>
    <mergeCell ref="H16:H17"/>
  </mergeCells>
  <phoneticPr fontI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試算シート</vt:lpstr>
      <vt:lpstr>試算シート!Print_Area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山口 真人</cp:lastModifiedBy>
  <cp:lastPrinted>2019-09-12T23:44:42Z</cp:lastPrinted>
  <dcterms:created xsi:type="dcterms:W3CDTF">2019-06-12T01:14:22Z</dcterms:created>
  <dcterms:modified xsi:type="dcterms:W3CDTF">2020-09-08T06:02:42Z</dcterms:modified>
</cp:coreProperties>
</file>