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ayo\Desktop\B-DASH汚泥焼却\"/>
    </mc:Choice>
  </mc:AlternateContent>
  <bookViews>
    <workbookView xWindow="0" yWindow="0" windowWidth="15330" windowHeight="11385"/>
  </bookViews>
  <sheets>
    <sheet name="試算シート" sheetId="3" r:id="rId1"/>
  </sheets>
  <definedNames>
    <definedName name="_xlnm.Print_Area" localSheetId="0">試算シート!$A$1:$M$144</definedName>
  </definedNames>
  <calcPr calcId="162913"/>
</workbook>
</file>

<file path=xl/calcChain.xml><?xml version="1.0" encoding="utf-8"?>
<calcChain xmlns="http://schemas.openxmlformats.org/spreadsheetml/2006/main">
  <c r="H119" i="3" l="1"/>
  <c r="H114" i="3"/>
  <c r="F100" i="3" l="1"/>
  <c r="F96" i="3"/>
  <c r="F97" i="3"/>
  <c r="F93" i="3"/>
  <c r="F92" i="3"/>
  <c r="H85" i="3" l="1"/>
  <c r="H111" i="3" s="1"/>
  <c r="H83" i="3"/>
  <c r="H89" i="3" l="1"/>
  <c r="H112" i="3" s="1"/>
  <c r="H87" i="3"/>
  <c r="H88" i="3" s="1"/>
  <c r="H108" i="3"/>
  <c r="H29" i="3"/>
  <c r="H91" i="3" l="1"/>
  <c r="H20" i="3"/>
  <c r="G4" i="3" l="1"/>
  <c r="H21" i="3"/>
  <c r="D5" i="3"/>
  <c r="H61" i="3" s="1"/>
  <c r="H130" i="3" s="1"/>
  <c r="H109" i="3" l="1"/>
  <c r="H124" i="3"/>
  <c r="H126" i="3"/>
  <c r="H116" i="3"/>
  <c r="H31" i="3"/>
  <c r="H34" i="3" s="1"/>
  <c r="H26" i="3"/>
  <c r="H63" i="3"/>
  <c r="H64" i="3" s="1"/>
  <c r="H59" i="3"/>
  <c r="H57" i="3"/>
  <c r="H48" i="3"/>
  <c r="H51" i="3" s="1"/>
  <c r="H41" i="3"/>
  <c r="H47" i="3"/>
  <c r="H49" i="3" s="1"/>
  <c r="H40" i="3"/>
  <c r="H45" i="3"/>
  <c r="H39" i="3"/>
  <c r="H42" i="3"/>
  <c r="H38" i="3"/>
  <c r="H54" i="3"/>
  <c r="H43" i="3"/>
  <c r="H18" i="3"/>
  <c r="H19" i="3"/>
  <c r="D9" i="3"/>
  <c r="D10" i="3" s="1"/>
  <c r="H117" i="3" l="1"/>
  <c r="H118" i="3"/>
  <c r="H58" i="3"/>
  <c r="H100" i="3"/>
  <c r="H60" i="3"/>
  <c r="H97" i="3"/>
  <c r="H46" i="3"/>
  <c r="H92" i="3"/>
  <c r="H123" i="3" s="1"/>
  <c r="H56" i="3"/>
  <c r="H93" i="3"/>
  <c r="H128" i="3" s="1"/>
  <c r="H75" i="3"/>
  <c r="H62" i="3"/>
  <c r="H53" i="3"/>
  <c r="H44" i="3"/>
  <c r="H35" i="3"/>
  <c r="H77" i="3" s="1"/>
  <c r="D12" i="3"/>
  <c r="H135" i="3" s="1"/>
  <c r="H101" i="3" l="1"/>
  <c r="H139" i="3"/>
  <c r="H98" i="3"/>
  <c r="H129" i="3"/>
  <c r="H132" i="3" s="1"/>
  <c r="H95" i="3"/>
  <c r="H96" i="3" s="1"/>
  <c r="H99" i="3" s="1"/>
  <c r="H67" i="3"/>
  <c r="H78" i="3" s="1"/>
  <c r="H79" i="3" s="1"/>
  <c r="H68" i="3"/>
  <c r="H102" i="3" l="1"/>
  <c r="H104" i="3" s="1"/>
  <c r="H69" i="3"/>
  <c r="H134" i="3" l="1"/>
  <c r="H133" i="3"/>
  <c r="H137" i="3" l="1"/>
  <c r="H138" i="3" s="1"/>
  <c r="H140" i="3" s="1"/>
  <c r="H121" i="3" l="1"/>
  <c r="H122" i="3" s="1"/>
  <c r="H141" i="3" s="1"/>
  <c r="H22" i="3"/>
  <c r="H23" i="3" l="1"/>
  <c r="H74" i="3" s="1"/>
  <c r="H76" i="3" s="1"/>
  <c r="H24" i="3"/>
  <c r="H36" i="3" l="1"/>
  <c r="H37" i="3" l="1"/>
  <c r="H70" i="3" s="1"/>
</calcChain>
</file>

<file path=xl/sharedStrings.xml><?xml version="1.0" encoding="utf-8"?>
<sst xmlns="http://schemas.openxmlformats.org/spreadsheetml/2006/main" count="480" uniqueCount="308">
  <si>
    <t>従来技術</t>
    <rPh sb="0" eb="2">
      <t>ジュウライ</t>
    </rPh>
    <rPh sb="2" eb="4">
      <t>ギジュツ</t>
    </rPh>
    <phoneticPr fontId="1"/>
  </si>
  <si>
    <t>合計</t>
    <rPh sb="0" eb="2">
      <t>ゴウケイ</t>
    </rPh>
    <phoneticPr fontId="1"/>
  </si>
  <si>
    <t>建設費年価</t>
    <rPh sb="0" eb="3">
      <t>ケンセツヒ</t>
    </rPh>
    <rPh sb="3" eb="4">
      <t>ネン</t>
    </rPh>
    <rPh sb="4" eb="5">
      <t>カ</t>
    </rPh>
    <phoneticPr fontId="1"/>
  </si>
  <si>
    <t>革新的技術</t>
    <rPh sb="0" eb="3">
      <t>カクシンテキ</t>
    </rPh>
    <rPh sb="3" eb="5">
      <t>ギジュツ</t>
    </rPh>
    <phoneticPr fontId="1"/>
  </si>
  <si>
    <t>電気設備</t>
    <rPh sb="0" eb="2">
      <t>デンキ</t>
    </rPh>
    <rPh sb="2" eb="4">
      <t>セツビ</t>
    </rPh>
    <phoneticPr fontId="1"/>
  </si>
  <si>
    <t>維持管理費合計</t>
    <rPh sb="0" eb="2">
      <t>イジ</t>
    </rPh>
    <rPh sb="2" eb="5">
      <t>カンリヒ</t>
    </rPh>
    <rPh sb="5" eb="7">
      <t>ゴウケイ</t>
    </rPh>
    <phoneticPr fontId="1"/>
  </si>
  <si>
    <t>費用（百万円）</t>
    <rPh sb="0" eb="2">
      <t>ヒヨウ</t>
    </rPh>
    <rPh sb="3" eb="5">
      <t>ヒャクマン</t>
    </rPh>
    <rPh sb="5" eb="6">
      <t>エン</t>
    </rPh>
    <phoneticPr fontId="1"/>
  </si>
  <si>
    <t>焼却設備</t>
    <rPh sb="0" eb="2">
      <t>ショウキャク</t>
    </rPh>
    <rPh sb="2" eb="4">
      <t>セツビ</t>
    </rPh>
    <phoneticPr fontId="1"/>
  </si>
  <si>
    <t>備考</t>
    <rPh sb="0" eb="2">
      <t>ビコウ</t>
    </rPh>
    <phoneticPr fontId="1"/>
  </si>
  <si>
    <t>技術区分</t>
    <rPh sb="0" eb="2">
      <t>ギジュツ</t>
    </rPh>
    <rPh sb="2" eb="4">
      <t>クブン</t>
    </rPh>
    <phoneticPr fontId="1"/>
  </si>
  <si>
    <t>項目</t>
    <rPh sb="0" eb="2">
      <t>コウモク</t>
    </rPh>
    <phoneticPr fontId="1"/>
  </si>
  <si>
    <t>設備名称</t>
    <rPh sb="0" eb="2">
      <t>セツビ</t>
    </rPh>
    <rPh sb="2" eb="4">
      <t>メイショウ</t>
    </rPh>
    <phoneticPr fontId="1"/>
  </si>
  <si>
    <t>費用</t>
    <rPh sb="0" eb="2">
      <t>ヒヨウ</t>
    </rPh>
    <phoneticPr fontId="1"/>
  </si>
  <si>
    <t>単位</t>
    <rPh sb="0" eb="2">
      <t>タンイ</t>
    </rPh>
    <phoneticPr fontId="1"/>
  </si>
  <si>
    <t>エネルギー削減効果</t>
    <rPh sb="5" eb="7">
      <t>サクゲン</t>
    </rPh>
    <rPh sb="7" eb="9">
      <t>コウカ</t>
    </rPh>
    <phoneticPr fontId="1"/>
  </si>
  <si>
    <t>消費電力量</t>
    <rPh sb="0" eb="2">
      <t>ショウヒ</t>
    </rPh>
    <rPh sb="2" eb="4">
      <t>デンリョク</t>
    </rPh>
    <rPh sb="4" eb="5">
      <t>リョウ</t>
    </rPh>
    <phoneticPr fontId="1"/>
  </si>
  <si>
    <t>温室効果ガス削減効果</t>
    <rPh sb="0" eb="2">
      <t>オンシツ</t>
    </rPh>
    <rPh sb="2" eb="4">
      <t>コウカ</t>
    </rPh>
    <rPh sb="6" eb="8">
      <t>サクゲン</t>
    </rPh>
    <rPh sb="8" eb="10">
      <t>コウカ</t>
    </rPh>
    <phoneticPr fontId="1"/>
  </si>
  <si>
    <t>GHG排出量</t>
    <rPh sb="3" eb="6">
      <t>ハイシュツリョウ</t>
    </rPh>
    <phoneticPr fontId="1"/>
  </si>
  <si>
    <t>消費電力由来GHG排出量</t>
    <rPh sb="0" eb="2">
      <t>ショウヒ</t>
    </rPh>
    <rPh sb="2" eb="4">
      <t>デンリョク</t>
    </rPh>
    <rPh sb="4" eb="6">
      <t>ユライ</t>
    </rPh>
    <rPh sb="9" eb="12">
      <t>ハイシュツリョウ</t>
    </rPh>
    <phoneticPr fontId="1"/>
  </si>
  <si>
    <t>発電によるGHG排出削減量</t>
    <rPh sb="0" eb="2">
      <t>ハツデン</t>
    </rPh>
    <rPh sb="8" eb="10">
      <t>ハイシュツ</t>
    </rPh>
    <rPh sb="10" eb="13">
      <t>サクゲンリョウ</t>
    </rPh>
    <phoneticPr fontId="1"/>
  </si>
  <si>
    <t>百万円</t>
    <rPh sb="0" eb="2">
      <t>ヒャクマン</t>
    </rPh>
    <rPh sb="2" eb="3">
      <t>エン</t>
    </rPh>
    <phoneticPr fontId="1"/>
  </si>
  <si>
    <t>百万円/年</t>
    <rPh sb="0" eb="2">
      <t>ヒャクマン</t>
    </rPh>
    <rPh sb="2" eb="3">
      <t>エン</t>
    </rPh>
    <rPh sb="4" eb="5">
      <t>ネン</t>
    </rPh>
    <phoneticPr fontId="1"/>
  </si>
  <si>
    <t>費用関数</t>
    <rPh sb="0" eb="2">
      <t>ヒヨウ</t>
    </rPh>
    <rPh sb="2" eb="4">
      <t>カンスウ</t>
    </rPh>
    <phoneticPr fontId="1"/>
  </si>
  <si>
    <t>ー</t>
    <phoneticPr fontId="1"/>
  </si>
  <si>
    <t>固定値</t>
    <rPh sb="0" eb="3">
      <t>コテイチ</t>
    </rPh>
    <phoneticPr fontId="1"/>
  </si>
  <si>
    <t>備考</t>
    <phoneticPr fontId="1"/>
  </si>
  <si>
    <t>費用関数</t>
    <phoneticPr fontId="1"/>
  </si>
  <si>
    <t>①</t>
    <phoneticPr fontId="1"/>
  </si>
  <si>
    <t>④</t>
    <phoneticPr fontId="1"/>
  </si>
  <si>
    <t>③</t>
    <phoneticPr fontId="1"/>
  </si>
  <si>
    <r>
      <t>t-CO</t>
    </r>
    <r>
      <rPr>
        <vertAlign val="subscript"/>
        <sz val="11"/>
        <color theme="1"/>
        <rFont val="游ゴシック"/>
        <family val="3"/>
        <charset val="128"/>
        <scheme val="minor"/>
      </rPr>
      <t>2</t>
    </r>
    <r>
      <rPr>
        <sz val="11"/>
        <color theme="1"/>
        <rFont val="游ゴシック"/>
        <family val="2"/>
        <charset val="128"/>
        <scheme val="minor"/>
      </rPr>
      <t>/年</t>
    </r>
    <rPh sb="6" eb="7">
      <t>ネン</t>
    </rPh>
    <phoneticPr fontId="1"/>
  </si>
  <si>
    <t>電力</t>
    <rPh sb="0" eb="2">
      <t>デンリョク</t>
    </rPh>
    <phoneticPr fontId="1"/>
  </si>
  <si>
    <t>⑭</t>
    <phoneticPr fontId="1"/>
  </si>
  <si>
    <t>⑮</t>
    <phoneticPr fontId="1"/>
  </si>
  <si>
    <t>備考</t>
    <rPh sb="0" eb="2">
      <t>ビコウ</t>
    </rPh>
    <phoneticPr fontId="1"/>
  </si>
  <si>
    <t>％</t>
    <phoneticPr fontId="1"/>
  </si>
  <si>
    <t>ー</t>
    <phoneticPr fontId="1"/>
  </si>
  <si>
    <t>(1-b/a)×100</t>
    <phoneticPr fontId="1"/>
  </si>
  <si>
    <t>ー</t>
    <phoneticPr fontId="1"/>
  </si>
  <si>
    <t>総費用（年価換算値）削減効果</t>
    <rPh sb="0" eb="3">
      <t>ソウヒヨウ</t>
    </rPh>
    <rPh sb="4" eb="6">
      <t>ネンカ</t>
    </rPh>
    <rPh sb="6" eb="8">
      <t>カンサン</t>
    </rPh>
    <rPh sb="8" eb="9">
      <t>チ</t>
    </rPh>
    <rPh sb="10" eb="12">
      <t>サクゲン</t>
    </rPh>
    <rPh sb="12" eb="14">
      <t>コウカ</t>
    </rPh>
    <phoneticPr fontId="1"/>
  </si>
  <si>
    <t>諸元値一覧</t>
    <rPh sb="0" eb="2">
      <t>ショゲン</t>
    </rPh>
    <rPh sb="2" eb="3">
      <t>チ</t>
    </rPh>
    <rPh sb="3" eb="5">
      <t>イチラン</t>
    </rPh>
    <phoneticPr fontId="1"/>
  </si>
  <si>
    <t>都市ガス</t>
    <rPh sb="0" eb="2">
      <t>トシ</t>
    </rPh>
    <phoneticPr fontId="1"/>
  </si>
  <si>
    <t>消化ガス</t>
    <rPh sb="0" eb="2">
      <t>ショウカ</t>
    </rPh>
    <phoneticPr fontId="1"/>
  </si>
  <si>
    <t>エネルギー換算係数</t>
    <rPh sb="5" eb="7">
      <t>カンサン</t>
    </rPh>
    <rPh sb="7" eb="9">
      <t>ケイスウ</t>
    </rPh>
    <phoneticPr fontId="1"/>
  </si>
  <si>
    <t>温室効果ガス換算係数</t>
    <rPh sb="0" eb="2">
      <t>オンシツ</t>
    </rPh>
    <rPh sb="2" eb="4">
      <t>コウカ</t>
    </rPh>
    <rPh sb="6" eb="8">
      <t>カンサン</t>
    </rPh>
    <rPh sb="8" eb="10">
      <t>ケイスウ</t>
    </rPh>
    <phoneticPr fontId="1"/>
  </si>
  <si>
    <r>
      <t>MJ/Nm</t>
    </r>
    <r>
      <rPr>
        <vertAlign val="superscript"/>
        <sz val="11"/>
        <color theme="1"/>
        <rFont val="游ゴシック"/>
        <family val="3"/>
        <charset val="128"/>
        <scheme val="minor"/>
      </rPr>
      <t>3</t>
    </r>
    <phoneticPr fontId="1"/>
  </si>
  <si>
    <r>
      <t>MJ/Nm</t>
    </r>
    <r>
      <rPr>
        <vertAlign val="superscript"/>
        <sz val="11"/>
        <color theme="1"/>
        <rFont val="游ゴシック"/>
        <family val="3"/>
        <charset val="128"/>
        <scheme val="minor"/>
      </rPr>
      <t>3</t>
    </r>
    <phoneticPr fontId="1"/>
  </si>
  <si>
    <r>
      <t>Y=工種別建設費×i(1+i)</t>
    </r>
    <r>
      <rPr>
        <vertAlign val="superscript"/>
        <sz val="11"/>
        <color theme="1"/>
        <rFont val="游ゴシック"/>
        <family val="3"/>
        <charset val="128"/>
        <scheme val="minor"/>
      </rPr>
      <t>n</t>
    </r>
    <r>
      <rPr>
        <sz val="11"/>
        <color theme="1"/>
        <rFont val="游ゴシック"/>
        <family val="2"/>
        <charset val="128"/>
        <scheme val="minor"/>
      </rPr>
      <t>/{(1+i)</t>
    </r>
    <r>
      <rPr>
        <vertAlign val="superscript"/>
        <sz val="11"/>
        <color theme="1"/>
        <rFont val="游ゴシック"/>
        <family val="3"/>
        <charset val="128"/>
        <scheme val="minor"/>
      </rPr>
      <t>n</t>
    </r>
    <r>
      <rPr>
        <sz val="11"/>
        <color theme="1"/>
        <rFont val="游ゴシック"/>
        <family val="2"/>
        <charset val="128"/>
        <scheme val="minor"/>
      </rPr>
      <t>-1}</t>
    </r>
    <rPh sb="2" eb="5">
      <t>コウシュベツ</t>
    </rPh>
    <rPh sb="5" eb="8">
      <t>ケンセツヒ</t>
    </rPh>
    <phoneticPr fontId="1"/>
  </si>
  <si>
    <r>
      <t>Y=N</t>
    </r>
    <r>
      <rPr>
        <vertAlign val="subscript"/>
        <sz val="11"/>
        <color theme="1"/>
        <rFont val="游ゴシック"/>
        <family val="3"/>
        <charset val="128"/>
        <scheme val="minor"/>
      </rPr>
      <t>2</t>
    </r>
    <r>
      <rPr>
        <sz val="11"/>
        <color theme="1"/>
        <rFont val="游ゴシック"/>
        <family val="2"/>
        <charset val="128"/>
        <scheme val="minor"/>
      </rPr>
      <t>O排出量(t-N</t>
    </r>
    <r>
      <rPr>
        <vertAlign val="subscript"/>
        <sz val="11"/>
        <color theme="1"/>
        <rFont val="游ゴシック"/>
        <family val="3"/>
        <charset val="128"/>
        <scheme val="minor"/>
      </rPr>
      <t>2</t>
    </r>
    <r>
      <rPr>
        <sz val="11"/>
        <color theme="1"/>
        <rFont val="游ゴシック"/>
        <family val="2"/>
        <charset val="128"/>
        <scheme val="minor"/>
      </rPr>
      <t>O/年)×298(t-CO</t>
    </r>
    <r>
      <rPr>
        <vertAlign val="subscript"/>
        <sz val="11"/>
        <color theme="1"/>
        <rFont val="游ゴシック"/>
        <family val="3"/>
        <charset val="128"/>
        <scheme val="minor"/>
      </rPr>
      <t>2</t>
    </r>
    <r>
      <rPr>
        <sz val="11"/>
        <color theme="1"/>
        <rFont val="游ゴシック"/>
        <family val="2"/>
        <charset val="128"/>
        <scheme val="minor"/>
      </rPr>
      <t>/t-N</t>
    </r>
    <r>
      <rPr>
        <vertAlign val="subscript"/>
        <sz val="11"/>
        <color theme="1"/>
        <rFont val="游ゴシック"/>
        <family val="3"/>
        <charset val="128"/>
        <scheme val="minor"/>
      </rPr>
      <t>2</t>
    </r>
    <r>
      <rPr>
        <sz val="11"/>
        <color theme="1"/>
        <rFont val="游ゴシック"/>
        <family val="2"/>
        <charset val="128"/>
        <scheme val="minor"/>
      </rPr>
      <t>O)</t>
    </r>
    <rPh sb="5" eb="8">
      <t>ハイシュツリョウ</t>
    </rPh>
    <rPh sb="15" eb="16">
      <t>ネン</t>
    </rPh>
    <phoneticPr fontId="1"/>
  </si>
  <si>
    <t>電力単価(円/kWh)</t>
    <rPh sb="0" eb="2">
      <t>デンリョク</t>
    </rPh>
    <rPh sb="2" eb="4">
      <t>タンカ</t>
    </rPh>
    <rPh sb="5" eb="6">
      <t>エン</t>
    </rPh>
    <phoneticPr fontId="1"/>
  </si>
  <si>
    <t>維持管理費
(電力、燃料、薬品費、補修費、人件費)</t>
    <rPh sb="0" eb="2">
      <t>イジ</t>
    </rPh>
    <rPh sb="2" eb="5">
      <t>カンリヒ</t>
    </rPh>
    <rPh sb="7" eb="9">
      <t>デンリョク</t>
    </rPh>
    <rPh sb="10" eb="12">
      <t>ネンリョウ</t>
    </rPh>
    <rPh sb="13" eb="15">
      <t>ヤクヒン</t>
    </rPh>
    <rPh sb="15" eb="16">
      <t>ヒ</t>
    </rPh>
    <rPh sb="17" eb="20">
      <t>ホシュウヒ</t>
    </rPh>
    <rPh sb="21" eb="24">
      <t>ジンケンヒ</t>
    </rPh>
    <phoneticPr fontId="1"/>
  </si>
  <si>
    <t>総費用(年価換算値)</t>
    <rPh sb="0" eb="3">
      <t>ソウヒヨウ</t>
    </rPh>
    <rPh sb="4" eb="5">
      <t>トシ</t>
    </rPh>
    <rPh sb="5" eb="6">
      <t>アタイ</t>
    </rPh>
    <rPh sb="6" eb="8">
      <t>カンサン</t>
    </rPh>
    <rPh sb="8" eb="9">
      <t>アタイ</t>
    </rPh>
    <phoneticPr fontId="1"/>
  </si>
  <si>
    <t>維持管理費(消費電力)</t>
    <rPh sb="0" eb="2">
      <t>イジ</t>
    </rPh>
    <rPh sb="2" eb="5">
      <t>カンリヒ</t>
    </rPh>
    <rPh sb="6" eb="8">
      <t>ショウヒ</t>
    </rPh>
    <rPh sb="8" eb="10">
      <t>デンリョク</t>
    </rPh>
    <phoneticPr fontId="1"/>
  </si>
  <si>
    <t>維持管理費(発電電力)</t>
    <rPh sb="0" eb="2">
      <t>イジ</t>
    </rPh>
    <rPh sb="2" eb="5">
      <t>カンリヒ</t>
    </rPh>
    <rPh sb="6" eb="8">
      <t>ハツデン</t>
    </rPh>
    <rPh sb="8" eb="10">
      <t>デンリョク</t>
    </rPh>
    <phoneticPr fontId="1"/>
  </si>
  <si>
    <t>維持管理費(薬品費)</t>
    <rPh sb="0" eb="2">
      <t>イジ</t>
    </rPh>
    <rPh sb="2" eb="5">
      <t>カンリヒ</t>
    </rPh>
    <rPh sb="6" eb="8">
      <t>ヤクヒン</t>
    </rPh>
    <rPh sb="8" eb="9">
      <t>ヒ</t>
    </rPh>
    <phoneticPr fontId="1"/>
  </si>
  <si>
    <r>
      <t>N</t>
    </r>
    <r>
      <rPr>
        <vertAlign val="subscript"/>
        <sz val="11"/>
        <color theme="1"/>
        <rFont val="游ゴシック"/>
        <family val="3"/>
        <charset val="128"/>
        <scheme val="minor"/>
      </rPr>
      <t>2</t>
    </r>
    <r>
      <rPr>
        <sz val="11"/>
        <color theme="1"/>
        <rFont val="游ゴシック"/>
        <family val="2"/>
        <charset val="128"/>
        <scheme val="minor"/>
      </rPr>
      <t>O由来GHG排出量(焼却設備含む)</t>
    </r>
    <rPh sb="3" eb="5">
      <t>ユライ</t>
    </rPh>
    <rPh sb="8" eb="11">
      <t>ハイシュツリョウ</t>
    </rPh>
    <phoneticPr fontId="1"/>
  </si>
  <si>
    <r>
      <t>N</t>
    </r>
    <r>
      <rPr>
        <vertAlign val="subscript"/>
        <sz val="11"/>
        <color theme="1"/>
        <rFont val="游ゴシック"/>
        <family val="3"/>
        <charset val="128"/>
        <scheme val="minor"/>
      </rPr>
      <t>2</t>
    </r>
    <r>
      <rPr>
        <sz val="11"/>
        <color theme="1"/>
        <rFont val="游ゴシック"/>
        <family val="2"/>
        <charset val="128"/>
        <scheme val="minor"/>
      </rPr>
      <t>O排出量　(t-N</t>
    </r>
    <r>
      <rPr>
        <vertAlign val="subscript"/>
        <sz val="11"/>
        <color theme="1"/>
        <rFont val="游ゴシック"/>
        <family val="3"/>
        <charset val="128"/>
        <scheme val="minor"/>
      </rPr>
      <t>2</t>
    </r>
    <r>
      <rPr>
        <sz val="11"/>
        <color theme="1"/>
        <rFont val="游ゴシック"/>
        <family val="2"/>
        <charset val="128"/>
        <scheme val="minor"/>
      </rPr>
      <t>O/年)</t>
    </r>
    <rPh sb="3" eb="6">
      <t>ハイシュツリョウ</t>
    </rPh>
    <rPh sb="14" eb="15">
      <t>ネン</t>
    </rPh>
    <phoneticPr fontId="1"/>
  </si>
  <si>
    <r>
      <t>t-CO</t>
    </r>
    <r>
      <rPr>
        <vertAlign val="subscript"/>
        <sz val="11"/>
        <rFont val="游ゴシック"/>
        <family val="3"/>
        <charset val="128"/>
        <scheme val="minor"/>
      </rPr>
      <t>2</t>
    </r>
    <r>
      <rPr>
        <sz val="11"/>
        <rFont val="游ゴシック"/>
        <family val="3"/>
        <charset val="128"/>
        <scheme val="minor"/>
      </rPr>
      <t>/年</t>
    </r>
    <rPh sb="6" eb="7">
      <t>ネン</t>
    </rPh>
    <phoneticPr fontId="1"/>
  </si>
  <si>
    <r>
      <t>N</t>
    </r>
    <r>
      <rPr>
        <vertAlign val="subscript"/>
        <sz val="11"/>
        <rFont val="游ゴシック"/>
        <family val="3"/>
        <charset val="128"/>
        <scheme val="minor"/>
      </rPr>
      <t>2</t>
    </r>
    <r>
      <rPr>
        <sz val="11"/>
        <rFont val="游ゴシック"/>
        <family val="3"/>
        <charset val="128"/>
        <scheme val="minor"/>
      </rPr>
      <t>O由来GHG排出量</t>
    </r>
    <rPh sb="3" eb="5">
      <t>ユライ</t>
    </rPh>
    <rPh sb="8" eb="11">
      <t>ハイシュツリョウ</t>
    </rPh>
    <phoneticPr fontId="1"/>
  </si>
  <si>
    <r>
      <t>N</t>
    </r>
    <r>
      <rPr>
        <vertAlign val="subscript"/>
        <sz val="11"/>
        <rFont val="游ゴシック"/>
        <family val="3"/>
        <charset val="128"/>
        <scheme val="minor"/>
      </rPr>
      <t>2</t>
    </r>
    <r>
      <rPr>
        <sz val="11"/>
        <rFont val="游ゴシック"/>
        <family val="3"/>
        <charset val="128"/>
        <scheme val="minor"/>
      </rPr>
      <t>O排出量　(t-N</t>
    </r>
    <r>
      <rPr>
        <vertAlign val="subscript"/>
        <sz val="11"/>
        <rFont val="游ゴシック"/>
        <family val="3"/>
        <charset val="128"/>
        <scheme val="minor"/>
      </rPr>
      <t>2</t>
    </r>
    <r>
      <rPr>
        <sz val="11"/>
        <rFont val="游ゴシック"/>
        <family val="3"/>
        <charset val="128"/>
        <scheme val="minor"/>
      </rPr>
      <t>O/年)</t>
    </r>
    <rPh sb="3" eb="6">
      <t>ハイシュツリョウ</t>
    </rPh>
    <rPh sb="14" eb="15">
      <t>ネン</t>
    </rPh>
    <phoneticPr fontId="1"/>
  </si>
  <si>
    <t>←計算参照セル修正しました。</t>
    <rPh sb="1" eb="3">
      <t>ケイサン</t>
    </rPh>
    <rPh sb="3" eb="5">
      <t>サンショウ</t>
    </rPh>
    <rPh sb="7" eb="9">
      <t>シュウセイ</t>
    </rPh>
    <phoneticPr fontId="1"/>
  </si>
  <si>
    <r>
      <t>kg</t>
    </r>
    <r>
      <rPr>
        <sz val="11"/>
        <rFont val="游ゴシック"/>
        <family val="3"/>
        <charset val="128"/>
        <scheme val="minor"/>
      </rPr>
      <t>-CO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</si>
  <si>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r>
      <t>kg-CO</t>
    </r>
    <r>
      <rPr>
        <vertAlign val="subscript"/>
        <sz val="11"/>
        <rFont val="游ゴシック"/>
        <family val="3"/>
        <charset val="128"/>
        <scheme val="minor"/>
      </rPr>
      <t>2</t>
    </r>
    <r>
      <rPr>
        <sz val="11"/>
        <rFont val="游ゴシック"/>
        <family val="3"/>
        <charset val="128"/>
        <scheme val="minor"/>
      </rPr>
      <t>/m</t>
    </r>
    <r>
      <rPr>
        <vertAlign val="superscript"/>
        <sz val="11"/>
        <rFont val="游ゴシック"/>
        <family val="3"/>
        <charset val="128"/>
        <scheme val="minor"/>
      </rPr>
      <t>3</t>
    </r>
    <phoneticPr fontId="1"/>
  </si>
  <si>
    <t>↓</t>
    <phoneticPr fontId="1"/>
  </si>
  <si>
    <t>【従来技術】</t>
    <phoneticPr fontId="1"/>
  </si>
  <si>
    <t>【革新的技術】</t>
    <phoneticPr fontId="1"/>
  </si>
  <si>
    <t>脱水設備</t>
    <rPh sb="0" eb="2">
      <t>ダッスイ</t>
    </rPh>
    <rPh sb="2" eb="4">
      <t>セツビ</t>
    </rPh>
    <phoneticPr fontId="1"/>
  </si>
  <si>
    <t>百万円</t>
    <phoneticPr fontId="1"/>
  </si>
  <si>
    <t>機械設備費</t>
    <rPh sb="0" eb="2">
      <t>キカイ</t>
    </rPh>
    <rPh sb="2" eb="4">
      <t>セツビ</t>
    </rPh>
    <rPh sb="4" eb="5">
      <t>ヒ</t>
    </rPh>
    <phoneticPr fontId="1"/>
  </si>
  <si>
    <t>電気設備費</t>
    <rPh sb="0" eb="2">
      <t>デンキ</t>
    </rPh>
    <rPh sb="2" eb="4">
      <t>セツビ</t>
    </rPh>
    <rPh sb="4" eb="5">
      <t>ヒ</t>
    </rPh>
    <phoneticPr fontId="1"/>
  </si>
  <si>
    <t>建設費合計</t>
    <phoneticPr fontId="1"/>
  </si>
  <si>
    <t>⑥：①＋②＋③＋④＋⑤</t>
    <phoneticPr fontId="1"/>
  </si>
  <si>
    <t>耐用年数(年)</t>
    <rPh sb="0" eb="2">
      <t>タイヨウ</t>
    </rPh>
    <rPh sb="2" eb="4">
      <t>ネンスウ</t>
    </rPh>
    <rPh sb="5" eb="6">
      <t>ネン</t>
    </rPh>
    <phoneticPr fontId="1"/>
  </si>
  <si>
    <t>土木建築設備</t>
    <rPh sb="0" eb="2">
      <t>ドボク</t>
    </rPh>
    <rPh sb="2" eb="4">
      <t>ケンチク</t>
    </rPh>
    <rPh sb="4" eb="6">
      <t>セツビ</t>
    </rPh>
    <phoneticPr fontId="1"/>
  </si>
  <si>
    <t>脱水設備</t>
    <rPh sb="0" eb="4">
      <t>ダッスイセツビ</t>
    </rPh>
    <phoneticPr fontId="1"/>
  </si>
  <si>
    <t>利子率</t>
    <rPh sb="0" eb="2">
      <t>リシ</t>
    </rPh>
    <rPh sb="2" eb="3">
      <t>リツ</t>
    </rPh>
    <phoneticPr fontId="1"/>
  </si>
  <si>
    <t>※1 検討処理場の実績値から算出した値。</t>
    <phoneticPr fontId="1"/>
  </si>
  <si>
    <t>年間稼働割合(自動入力)</t>
    <rPh sb="0" eb="2">
      <t>ネンカン</t>
    </rPh>
    <rPh sb="2" eb="4">
      <t>カドウ</t>
    </rPh>
    <rPh sb="4" eb="6">
      <t>ワリアイ</t>
    </rPh>
    <rPh sb="7" eb="9">
      <t>ジドウ</t>
    </rPh>
    <rPh sb="9" eb="11">
      <t>ニュウリョク</t>
    </rPh>
    <phoneticPr fontId="1"/>
  </si>
  <si>
    <t>固形物量合計(t-DS/日)(自動入力)</t>
    <rPh sb="0" eb="3">
      <t>コケイブツ</t>
    </rPh>
    <rPh sb="3" eb="4">
      <t>リョウ</t>
    </rPh>
    <rPh sb="15" eb="17">
      <t>ジドウ</t>
    </rPh>
    <rPh sb="17" eb="19">
      <t>ニュウリョク</t>
    </rPh>
    <phoneticPr fontId="1"/>
  </si>
  <si>
    <t>固形物中可燃分率(%-DS)</t>
    <rPh sb="0" eb="3">
      <t>コケイブツ</t>
    </rPh>
    <rPh sb="3" eb="4">
      <t>チュウ</t>
    </rPh>
    <rPh sb="4" eb="6">
      <t>カネン</t>
    </rPh>
    <rPh sb="6" eb="7">
      <t>ブン</t>
    </rPh>
    <rPh sb="7" eb="8">
      <t>リツ</t>
    </rPh>
    <phoneticPr fontId="1"/>
  </si>
  <si>
    <t>固形物中可燃分率(%-DS)(自動入力)</t>
    <rPh sb="0" eb="3">
      <t>コケイブツ</t>
    </rPh>
    <rPh sb="3" eb="4">
      <t>チュウ</t>
    </rPh>
    <rPh sb="4" eb="6">
      <t>カネン</t>
    </rPh>
    <rPh sb="6" eb="7">
      <t>ブン</t>
    </rPh>
    <rPh sb="7" eb="8">
      <t>リツ</t>
    </rPh>
    <rPh sb="15" eb="17">
      <t>ジドウ</t>
    </rPh>
    <rPh sb="17" eb="19">
      <t>ニュウリョク</t>
    </rPh>
    <phoneticPr fontId="1"/>
  </si>
  <si>
    <t>稼働日数(日/年)</t>
    <rPh sb="0" eb="2">
      <t>カドウ</t>
    </rPh>
    <rPh sb="2" eb="4">
      <t>ニッスウ</t>
    </rPh>
    <phoneticPr fontId="1"/>
  </si>
  <si>
    <t>脱水汚泥含水率(％)</t>
    <rPh sb="0" eb="2">
      <t>ダッスイ</t>
    </rPh>
    <rPh sb="2" eb="4">
      <t>オデイ</t>
    </rPh>
    <rPh sb="4" eb="6">
      <t>ガンスイ</t>
    </rPh>
    <rPh sb="6" eb="7">
      <t>リツ</t>
    </rPh>
    <phoneticPr fontId="1"/>
  </si>
  <si>
    <r>
      <t>無機系凝集剤中鉄分による固形物増加</t>
    </r>
    <r>
      <rPr>
        <sz val="11"/>
        <color theme="1"/>
        <rFont val="游ゴシック"/>
        <family val="3"/>
        <charset val="128"/>
        <scheme val="minor"/>
      </rPr>
      <t>(</t>
    </r>
    <r>
      <rPr>
        <sz val="11"/>
        <color theme="1"/>
        <rFont val="游ゴシック"/>
        <family val="2"/>
        <charset val="128"/>
        <scheme val="minor"/>
      </rPr>
      <t>％</t>
    </r>
    <r>
      <rPr>
        <sz val="11"/>
        <color theme="1"/>
        <rFont val="游ゴシック"/>
        <family val="3"/>
        <charset val="128"/>
        <scheme val="minor"/>
      </rPr>
      <t>)</t>
    </r>
    <r>
      <rPr>
        <vertAlign val="superscript"/>
        <sz val="11"/>
        <color theme="1"/>
        <rFont val="游ゴシック"/>
        <family val="3"/>
        <charset val="128"/>
        <scheme val="minor"/>
      </rPr>
      <t>※1</t>
    </r>
    <rPh sb="0" eb="2">
      <t>ムキ</t>
    </rPh>
    <rPh sb="2" eb="3">
      <t>ケイ</t>
    </rPh>
    <rPh sb="3" eb="5">
      <t>ギョウシュウ</t>
    </rPh>
    <rPh sb="5" eb="6">
      <t>ザイ</t>
    </rPh>
    <rPh sb="6" eb="7">
      <t>チュウ</t>
    </rPh>
    <rPh sb="7" eb="9">
      <t>テツブン</t>
    </rPh>
    <rPh sb="12" eb="15">
      <t>コケイブツ</t>
    </rPh>
    <rPh sb="15" eb="17">
      <t>ゾウカ</t>
    </rPh>
    <phoneticPr fontId="1"/>
  </si>
  <si>
    <t>機内二液調質型脱水汚泥含水率(％)</t>
    <rPh sb="0" eb="2">
      <t>キナイ</t>
    </rPh>
    <rPh sb="2" eb="3">
      <t>ニ</t>
    </rPh>
    <rPh sb="3" eb="4">
      <t>エキ</t>
    </rPh>
    <rPh sb="4" eb="6">
      <t>チョウシツ</t>
    </rPh>
    <rPh sb="6" eb="7">
      <t>カタ</t>
    </rPh>
    <rPh sb="7" eb="9">
      <t>ダッスイ</t>
    </rPh>
    <rPh sb="9" eb="11">
      <t>オデイ</t>
    </rPh>
    <rPh sb="11" eb="13">
      <t>ガンスイ</t>
    </rPh>
    <rPh sb="13" eb="14">
      <t>リツ</t>
    </rPh>
    <phoneticPr fontId="1"/>
  </si>
  <si>
    <t>⑦、i：利子率、n：耐用年数
※工種別に年価を算出し、合計する。</t>
    <rPh sb="4" eb="7">
      <t>リシリツ</t>
    </rPh>
    <rPh sb="10" eb="12">
      <t>タイヨウ</t>
    </rPh>
    <rPh sb="12" eb="14">
      <t>ネンスウ</t>
    </rPh>
    <rPh sb="23" eb="25">
      <t>サンシュツ</t>
    </rPh>
    <phoneticPr fontId="1"/>
  </si>
  <si>
    <t>灰処分費単価(円/t)</t>
    <rPh sb="0" eb="1">
      <t>ハイ</t>
    </rPh>
    <rPh sb="1" eb="3">
      <t>ショブン</t>
    </rPh>
    <rPh sb="3" eb="4">
      <t>ヒ</t>
    </rPh>
    <rPh sb="4" eb="6">
      <t>タンカ</t>
    </rPh>
    <rPh sb="7" eb="8">
      <t>エン</t>
    </rPh>
    <phoneticPr fontId="1"/>
  </si>
  <si>
    <t>維持管理費合計</t>
    <rPh sb="0" eb="2">
      <t>イジ</t>
    </rPh>
    <rPh sb="2" eb="5">
      <t>カンリヒ</t>
    </rPh>
    <phoneticPr fontId="1"/>
  </si>
  <si>
    <t>焼却設備維持管理費合計</t>
    <rPh sb="0" eb="2">
      <t>ショウキャク</t>
    </rPh>
    <rPh sb="2" eb="4">
      <t>セツビ</t>
    </rPh>
    <rPh sb="4" eb="6">
      <t>イジ</t>
    </rPh>
    <rPh sb="6" eb="9">
      <t>カンリヒ</t>
    </rPh>
    <phoneticPr fontId="1"/>
  </si>
  <si>
    <t>⑪：⑨＋⑩</t>
    <phoneticPr fontId="1"/>
  </si>
  <si>
    <t>⑫：⑧＋⑪</t>
    <phoneticPr fontId="1"/>
  </si>
  <si>
    <t>解体・撤去費</t>
    <rPh sb="0" eb="2">
      <t>カイタイ</t>
    </rPh>
    <rPh sb="3" eb="5">
      <t>テッキョ</t>
    </rPh>
    <rPh sb="5" eb="6">
      <t>ヒ</t>
    </rPh>
    <phoneticPr fontId="1"/>
  </si>
  <si>
    <t>Y=建設費年価×（労務費(15%)×撤去費(40%)＋スクラップ費(4%)）</t>
    <rPh sb="2" eb="5">
      <t>ケンセツヒ</t>
    </rPh>
    <rPh sb="5" eb="6">
      <t>ネン</t>
    </rPh>
    <rPh sb="6" eb="7">
      <t>カ</t>
    </rPh>
    <rPh sb="9" eb="12">
      <t>ロウムヒ</t>
    </rPh>
    <rPh sb="18" eb="20">
      <t>テッキョ</t>
    </rPh>
    <rPh sb="20" eb="21">
      <t>ヒ</t>
    </rPh>
    <rPh sb="32" eb="33">
      <t>ヒ</t>
    </rPh>
    <phoneticPr fontId="1"/>
  </si>
  <si>
    <t>⑬撤去費は労務費の40％、労務費は建設費の15％とする。またスクラップ費は建設費の4％とする。</t>
    <rPh sb="1" eb="3">
      <t>テッキョ</t>
    </rPh>
    <rPh sb="3" eb="4">
      <t>ヒ</t>
    </rPh>
    <rPh sb="5" eb="8">
      <t>ロウムヒ</t>
    </rPh>
    <rPh sb="13" eb="16">
      <t>ロウムヒ</t>
    </rPh>
    <rPh sb="17" eb="20">
      <t>ケンセツヒ</t>
    </rPh>
    <rPh sb="35" eb="36">
      <t>ヒ</t>
    </rPh>
    <rPh sb="37" eb="40">
      <t>ケンセツヒ</t>
    </rPh>
    <phoneticPr fontId="1"/>
  </si>
  <si>
    <t>a：⑦＋⑫＋⑬</t>
    <phoneticPr fontId="1"/>
  </si>
  <si>
    <t>総費用（年価換算値)</t>
    <rPh sb="0" eb="3">
      <t>ソウヒヨウ</t>
    </rPh>
    <rPh sb="4" eb="6">
      <t>ネンカ</t>
    </rPh>
    <rPh sb="6" eb="9">
      <t>カンサンチ</t>
    </rPh>
    <phoneticPr fontId="1"/>
  </si>
  <si>
    <t>※従来技術　（一液脱水機＋流動炉）</t>
    <rPh sb="1" eb="3">
      <t>ジュウライ</t>
    </rPh>
    <rPh sb="7" eb="8">
      <t>イチ</t>
    </rPh>
    <rPh sb="8" eb="9">
      <t>エキ</t>
    </rPh>
    <rPh sb="13" eb="15">
      <t>リュウドウ</t>
    </rPh>
    <phoneticPr fontId="1"/>
  </si>
  <si>
    <t>　革新的技術（機内二液調質型遠心脱水機＋階段炉（ボイラー付）＋蒸気発電機）</t>
    <phoneticPr fontId="1"/>
  </si>
  <si>
    <t>土木建築施設費</t>
    <rPh sb="4" eb="6">
      <t>シセツ</t>
    </rPh>
    <phoneticPr fontId="1"/>
  </si>
  <si>
    <t>機械設備費年価</t>
    <rPh sb="0" eb="2">
      <t>キカイ</t>
    </rPh>
    <rPh sb="2" eb="4">
      <t>セツビ</t>
    </rPh>
    <rPh sb="4" eb="5">
      <t>ヒ</t>
    </rPh>
    <rPh sb="5" eb="6">
      <t>ネン</t>
    </rPh>
    <rPh sb="6" eb="7">
      <t>カ</t>
    </rPh>
    <phoneticPr fontId="1"/>
  </si>
  <si>
    <t>③、Xw：脱水汚泥焼却量(wet-t/日)</t>
    <rPh sb="5" eb="7">
      <t>ダッスイ</t>
    </rPh>
    <rPh sb="7" eb="9">
      <t>オデイ</t>
    </rPh>
    <rPh sb="9" eb="11">
      <t>ショウキャク</t>
    </rPh>
    <rPh sb="11" eb="12">
      <t>リョウ</t>
    </rPh>
    <rPh sb="19" eb="20">
      <t>ヒ</t>
    </rPh>
    <phoneticPr fontId="1"/>
  </si>
  <si>
    <t>④、Xw：脱水汚泥焼却量(wet-t/日)</t>
    <phoneticPr fontId="1"/>
  </si>
  <si>
    <t>⑤、Xw：脱水汚泥焼却量(wet-t/日)</t>
    <phoneticPr fontId="1"/>
  </si>
  <si>
    <r>
      <t>Y=2.426Xw</t>
    </r>
    <r>
      <rPr>
        <vertAlign val="superscript"/>
        <sz val="11"/>
        <color theme="1"/>
        <rFont val="游ゴシック"/>
        <family val="3"/>
        <charset val="128"/>
        <scheme val="minor"/>
      </rPr>
      <t>0.0094</t>
    </r>
    <r>
      <rPr>
        <sz val="11"/>
        <color theme="1"/>
        <rFont val="游ゴシック"/>
        <family val="3"/>
        <charset val="128"/>
        <scheme val="minor"/>
      </rPr>
      <t>×100</t>
    </r>
    <phoneticPr fontId="1"/>
  </si>
  <si>
    <r>
      <t>Y=1.888Xw</t>
    </r>
    <r>
      <rPr>
        <vertAlign val="superscript"/>
        <sz val="11"/>
        <color theme="1"/>
        <rFont val="游ゴシック"/>
        <family val="3"/>
        <charset val="128"/>
        <scheme val="minor"/>
      </rPr>
      <t>0.597</t>
    </r>
    <r>
      <rPr>
        <sz val="11"/>
        <color theme="1"/>
        <rFont val="游ゴシック"/>
        <family val="3"/>
        <charset val="128"/>
        <scheme val="minor"/>
      </rPr>
      <t>×100</t>
    </r>
    <phoneticPr fontId="1"/>
  </si>
  <si>
    <r>
      <t>Y=0.726Xw</t>
    </r>
    <r>
      <rPr>
        <vertAlign val="superscript"/>
        <sz val="11"/>
        <color theme="1"/>
        <rFont val="游ゴシック"/>
        <family val="3"/>
        <charset val="128"/>
        <scheme val="minor"/>
      </rPr>
      <t>0.539</t>
    </r>
    <r>
      <rPr>
        <sz val="11"/>
        <color theme="1"/>
        <rFont val="游ゴシック"/>
        <family val="3"/>
        <charset val="128"/>
        <scheme val="minor"/>
      </rPr>
      <t>×100</t>
    </r>
    <phoneticPr fontId="1"/>
  </si>
  <si>
    <t>電気設備費年価</t>
    <rPh sb="0" eb="2">
      <t>デンキ</t>
    </rPh>
    <rPh sb="2" eb="4">
      <t>セツビ</t>
    </rPh>
    <rPh sb="4" eb="5">
      <t>ヒ</t>
    </rPh>
    <rPh sb="5" eb="6">
      <t>ネン</t>
    </rPh>
    <rPh sb="6" eb="7">
      <t>カ</t>
    </rPh>
    <phoneticPr fontId="1"/>
  </si>
  <si>
    <t>発電設備</t>
    <rPh sb="0" eb="2">
      <t>ハツデン</t>
    </rPh>
    <rPh sb="2" eb="4">
      <t>セツビ</t>
    </rPh>
    <phoneticPr fontId="1"/>
  </si>
  <si>
    <t>土木建築施設費年価</t>
    <rPh sb="7" eb="8">
      <t>ネン</t>
    </rPh>
    <rPh sb="8" eb="9">
      <t>カ</t>
    </rPh>
    <phoneticPr fontId="1"/>
  </si>
  <si>
    <t>汚泥中固形物量：XD(t-DS/日)(自動入力)</t>
    <rPh sb="0" eb="2">
      <t>オデイ</t>
    </rPh>
    <rPh sb="2" eb="3">
      <t>チュウ</t>
    </rPh>
    <rPh sb="3" eb="6">
      <t>コケイブツ</t>
    </rPh>
    <rPh sb="6" eb="7">
      <t>リョウ</t>
    </rPh>
    <rPh sb="19" eb="21">
      <t>ジドウ</t>
    </rPh>
    <rPh sb="21" eb="23">
      <t>ニュウリョク</t>
    </rPh>
    <phoneticPr fontId="1"/>
  </si>
  <si>
    <r>
      <t>Y=0.434×（XD(t-DS/日)／1%）</t>
    </r>
    <r>
      <rPr>
        <vertAlign val="superscript"/>
        <sz val="11"/>
        <color theme="1"/>
        <rFont val="游ゴシック"/>
        <family val="3"/>
        <charset val="128"/>
        <scheme val="minor"/>
      </rPr>
      <t>0.373</t>
    </r>
    <r>
      <rPr>
        <sz val="11"/>
        <color theme="1"/>
        <rFont val="游ゴシック"/>
        <family val="3"/>
        <charset val="128"/>
        <scheme val="minor"/>
      </rPr>
      <t>×100</t>
    </r>
    <phoneticPr fontId="1"/>
  </si>
  <si>
    <t>②、XD：汚泥中固形物量(t-DS/日)
投入汚泥の濃度を1%として計画投入汚泥量を算出。脱水機付属盤からの二次側配線工事及び計装工事を含む。</t>
    <rPh sb="5" eb="7">
      <t>オデイ</t>
    </rPh>
    <rPh sb="7" eb="8">
      <t>チュウ</t>
    </rPh>
    <rPh sb="8" eb="11">
      <t>コケイブツ</t>
    </rPh>
    <rPh sb="11" eb="12">
      <t>リョウ</t>
    </rPh>
    <rPh sb="18" eb="19">
      <t>ニチ</t>
    </rPh>
    <rPh sb="42" eb="44">
      <t>サンシュツ</t>
    </rPh>
    <rPh sb="45" eb="48">
      <t>ダッスイキ</t>
    </rPh>
    <rPh sb="48" eb="50">
      <t>フゾク</t>
    </rPh>
    <rPh sb="50" eb="51">
      <t>バン</t>
    </rPh>
    <rPh sb="54" eb="56">
      <t>ニジ</t>
    </rPh>
    <rPh sb="56" eb="57">
      <t>ガワ</t>
    </rPh>
    <rPh sb="57" eb="59">
      <t>ハイセン</t>
    </rPh>
    <rPh sb="59" eb="61">
      <t>コウジ</t>
    </rPh>
    <rPh sb="61" eb="62">
      <t>オヨ</t>
    </rPh>
    <rPh sb="63" eb="65">
      <t>ケイソウ</t>
    </rPh>
    <rPh sb="65" eb="67">
      <t>コウジ</t>
    </rPh>
    <rPh sb="68" eb="69">
      <t>フク</t>
    </rPh>
    <phoneticPr fontId="1"/>
  </si>
  <si>
    <t>①、XD：汚泥中固形物量(t-DS/日)
投入汚泥の濃度を1%として計画投入汚泥量を算出。</t>
    <phoneticPr fontId="1"/>
  </si>
  <si>
    <r>
      <t>Y=0.227×（XD(t-DS/日)／1%）</t>
    </r>
    <r>
      <rPr>
        <vertAlign val="superscript"/>
        <sz val="11"/>
        <color theme="1"/>
        <rFont val="游ゴシック"/>
        <family val="3"/>
        <charset val="128"/>
        <scheme val="minor"/>
      </rPr>
      <t>0.444</t>
    </r>
    <r>
      <rPr>
        <sz val="11"/>
        <color theme="1"/>
        <rFont val="游ゴシック"/>
        <family val="3"/>
        <charset val="128"/>
        <scheme val="minor"/>
      </rPr>
      <t>×100</t>
    </r>
    <phoneticPr fontId="1"/>
  </si>
  <si>
    <t>⑧、XD：汚泥中固形物量(t-DS/日)
投入汚泥の濃度を1%として年間処理汚泥量を算出。</t>
    <rPh sb="34" eb="36">
      <t>ネンカン</t>
    </rPh>
    <rPh sb="36" eb="38">
      <t>ショリ</t>
    </rPh>
    <rPh sb="38" eb="40">
      <t>オデイ</t>
    </rPh>
    <rPh sb="40" eb="41">
      <t>リョウ</t>
    </rPh>
    <phoneticPr fontId="1"/>
  </si>
  <si>
    <t>⑨ 、Xw：脱水汚泥焼却量(wet-t/日)</t>
    <phoneticPr fontId="1"/>
  </si>
  <si>
    <r>
      <t>Y=XD(t-DS/日)×（1－固形物中可燃分率(%-DS))×稼働日数(日/年)×負荷率(％)／（1－0.3）×単価(円/t)×10</t>
    </r>
    <r>
      <rPr>
        <vertAlign val="superscript"/>
        <sz val="11"/>
        <color theme="1"/>
        <rFont val="游ゴシック"/>
        <family val="3"/>
        <charset val="128"/>
        <scheme val="minor"/>
      </rPr>
      <t>-6</t>
    </r>
    <rPh sb="10" eb="11">
      <t>ニチ</t>
    </rPh>
    <rPh sb="16" eb="19">
      <t>コケイブツ</t>
    </rPh>
    <rPh sb="19" eb="20">
      <t>チュウ</t>
    </rPh>
    <rPh sb="20" eb="22">
      <t>カネン</t>
    </rPh>
    <rPh sb="22" eb="23">
      <t>ブン</t>
    </rPh>
    <rPh sb="23" eb="24">
      <t>リツ</t>
    </rPh>
    <rPh sb="57" eb="59">
      <t>タンカ</t>
    </rPh>
    <rPh sb="60" eb="61">
      <t>エン</t>
    </rPh>
    <phoneticPr fontId="1"/>
  </si>
  <si>
    <t>⑩、XD：汚泥中固形物量(t-DS/日)
完全燃焼した灰(熱灼減量0%)を含水率30％に加湿して搬出するとして算出。</t>
    <rPh sb="21" eb="23">
      <t>カンゼン</t>
    </rPh>
    <rPh sb="23" eb="25">
      <t>ネンショウ</t>
    </rPh>
    <rPh sb="27" eb="28">
      <t>ハイ</t>
    </rPh>
    <rPh sb="29" eb="30">
      <t>ネツ</t>
    </rPh>
    <rPh sb="30" eb="31">
      <t>シャク</t>
    </rPh>
    <rPh sb="31" eb="33">
      <t>ゲンリョウ</t>
    </rPh>
    <rPh sb="37" eb="39">
      <t>ガンスイ</t>
    </rPh>
    <rPh sb="39" eb="40">
      <t>リツ</t>
    </rPh>
    <rPh sb="44" eb="46">
      <t>カシツ</t>
    </rPh>
    <rPh sb="48" eb="50">
      <t>ハンシュツ</t>
    </rPh>
    <rPh sb="55" eb="57">
      <t>サンシュツ</t>
    </rPh>
    <phoneticPr fontId="1"/>
  </si>
  <si>
    <t>Y=1.06×XD＋14.11</t>
    <phoneticPr fontId="1"/>
  </si>
  <si>
    <t>⑭、XD：汚泥中固形物量(t-DS/日)</t>
    <phoneticPr fontId="1"/>
  </si>
  <si>
    <t>Y=4.43×XD＋161.4</t>
    <phoneticPr fontId="1"/>
  </si>
  <si>
    <t>Y=1.19×XD＋19.3</t>
    <phoneticPr fontId="1"/>
  </si>
  <si>
    <t>Y=0.86×XD＋1.06</t>
    <phoneticPr fontId="1"/>
  </si>
  <si>
    <t>Y=0.133×XD＋1.59</t>
    <phoneticPr fontId="1"/>
  </si>
  <si>
    <t>Y=0.071×XD＋5.19</t>
    <phoneticPr fontId="1"/>
  </si>
  <si>
    <t>⑮、XD：汚泥中固形物量(t-DS/日)</t>
    <phoneticPr fontId="1"/>
  </si>
  <si>
    <t>⑯、XD：汚泥中固形物量(t-DS/日)</t>
    <phoneticPr fontId="1"/>
  </si>
  <si>
    <t>⑰、XD：汚泥中固形物量(t-DS/日)</t>
    <phoneticPr fontId="1"/>
  </si>
  <si>
    <t>⑱、XD：汚泥中固形物量(t-DS/日)</t>
    <phoneticPr fontId="1"/>
  </si>
  <si>
    <t>⑲、XD：汚泥中固形物量(t-DS/日)</t>
    <phoneticPr fontId="1"/>
  </si>
  <si>
    <t>⑳：⑭＋⑮＋⑯＋⑰＋⑱＋⑲</t>
    <phoneticPr fontId="1"/>
  </si>
  <si>
    <t>MWh/年</t>
    <rPh sb="4" eb="5">
      <t>ネン</t>
    </rPh>
    <phoneticPr fontId="1"/>
  </si>
  <si>
    <t>Y= 20.39×XD－18.17</t>
    <phoneticPr fontId="1"/>
  </si>
  <si>
    <t>維持管理費(薬品費)</t>
    <phoneticPr fontId="1"/>
  </si>
  <si>
    <t>Y= 2.07×XD</t>
    <phoneticPr fontId="1"/>
  </si>
  <si>
    <t>Y=29.57×XD</t>
    <phoneticPr fontId="1"/>
  </si>
  <si>
    <t>高分子(t/年)</t>
    <rPh sb="0" eb="3">
      <t>コウブンシ</t>
    </rPh>
    <phoneticPr fontId="1"/>
  </si>
  <si>
    <t>無機(t/年)</t>
    <rPh sb="0" eb="2">
      <t>ムキ</t>
    </rPh>
    <phoneticPr fontId="1"/>
  </si>
  <si>
    <r>
      <t>Y＝消費電力(MWh/年)×単価（円/kW)×10</t>
    </r>
    <r>
      <rPr>
        <vertAlign val="superscript"/>
        <sz val="11"/>
        <color theme="1"/>
        <rFont val="游ゴシック"/>
        <family val="3"/>
        <charset val="128"/>
        <scheme val="minor"/>
      </rPr>
      <t>-3</t>
    </r>
    <rPh sb="2" eb="4">
      <t>ショウヒ</t>
    </rPh>
    <rPh sb="4" eb="6">
      <t>デンリョク</t>
    </rPh>
    <rPh sb="11" eb="12">
      <t>ネン</t>
    </rPh>
    <rPh sb="14" eb="16">
      <t>タンカ</t>
    </rPh>
    <rPh sb="17" eb="18">
      <t>エン</t>
    </rPh>
    <phoneticPr fontId="1"/>
  </si>
  <si>
    <t>XD：汚泥中固形物量(t-DS/日)</t>
  </si>
  <si>
    <t>XD：汚泥中固形物量(t-DS/日)</t>
    <phoneticPr fontId="1"/>
  </si>
  <si>
    <t>㉑</t>
    <phoneticPr fontId="1"/>
  </si>
  <si>
    <t>高分子
(百万円/年)</t>
    <rPh sb="0" eb="3">
      <t>コウブンシ</t>
    </rPh>
    <phoneticPr fontId="1"/>
  </si>
  <si>
    <r>
      <t>Y＝高分子(t/年)×単価（円/kg)×10</t>
    </r>
    <r>
      <rPr>
        <vertAlign val="superscript"/>
        <sz val="11"/>
        <color theme="1"/>
        <rFont val="游ゴシック"/>
        <family val="3"/>
        <charset val="128"/>
        <scheme val="minor"/>
      </rPr>
      <t>-3</t>
    </r>
    <rPh sb="2" eb="5">
      <t>コウブンシ</t>
    </rPh>
    <rPh sb="8" eb="9">
      <t>ネン</t>
    </rPh>
    <rPh sb="11" eb="13">
      <t>タンカ</t>
    </rPh>
    <rPh sb="14" eb="15">
      <t>エン</t>
    </rPh>
    <phoneticPr fontId="1"/>
  </si>
  <si>
    <t>無機
(百万円/年)</t>
    <rPh sb="0" eb="2">
      <t>ムキ</t>
    </rPh>
    <phoneticPr fontId="1"/>
  </si>
  <si>
    <r>
      <t>Y＝無機(t/年)×単価（円/kg)×10</t>
    </r>
    <r>
      <rPr>
        <vertAlign val="superscript"/>
        <sz val="11"/>
        <color theme="1"/>
        <rFont val="游ゴシック"/>
        <family val="3"/>
        <charset val="128"/>
        <scheme val="minor"/>
      </rPr>
      <t>-3</t>
    </r>
    <rPh sb="2" eb="4">
      <t>ムキ</t>
    </rPh>
    <rPh sb="7" eb="8">
      <t>ネン</t>
    </rPh>
    <rPh sb="10" eb="12">
      <t>タンカ</t>
    </rPh>
    <rPh sb="13" eb="14">
      <t>エン</t>
    </rPh>
    <phoneticPr fontId="1"/>
  </si>
  <si>
    <t>㉒</t>
    <phoneticPr fontId="1"/>
  </si>
  <si>
    <t>㉓</t>
    <phoneticPr fontId="1"/>
  </si>
  <si>
    <t>Y=39.39×XD+222.84</t>
    <phoneticPr fontId="1"/>
  </si>
  <si>
    <t>XD：汚泥中固形物量(t-DS/日)
発電設備消費電力を含む。</t>
    <rPh sb="19" eb="21">
      <t>ハツデン</t>
    </rPh>
    <rPh sb="21" eb="23">
      <t>セツビ</t>
    </rPh>
    <rPh sb="23" eb="25">
      <t>ショウヒ</t>
    </rPh>
    <rPh sb="25" eb="27">
      <t>デンリョク</t>
    </rPh>
    <rPh sb="28" eb="29">
      <t>フク</t>
    </rPh>
    <phoneticPr fontId="1"/>
  </si>
  <si>
    <t>高分子凝集剤単価(円/kg)</t>
    <rPh sb="0" eb="3">
      <t>コウブンシ</t>
    </rPh>
    <rPh sb="3" eb="5">
      <t>ギョウシュウ</t>
    </rPh>
    <rPh sb="5" eb="6">
      <t>ザイ</t>
    </rPh>
    <rPh sb="6" eb="8">
      <t>タンカ</t>
    </rPh>
    <phoneticPr fontId="1"/>
  </si>
  <si>
    <t>Y=112.07×XD-217.98</t>
    <phoneticPr fontId="1"/>
  </si>
  <si>
    <r>
      <t>Y＝消費電力量(MWh/年)×単価（円/kW)×10</t>
    </r>
    <r>
      <rPr>
        <vertAlign val="superscript"/>
        <sz val="11"/>
        <color theme="1"/>
        <rFont val="游ゴシック"/>
        <family val="3"/>
        <charset val="128"/>
        <scheme val="minor"/>
      </rPr>
      <t>-3</t>
    </r>
    <rPh sb="2" eb="4">
      <t>ショウヒ</t>
    </rPh>
    <rPh sb="4" eb="6">
      <t>デンリョク</t>
    </rPh>
    <rPh sb="6" eb="7">
      <t>リョウ</t>
    </rPh>
    <rPh sb="12" eb="13">
      <t>ネン</t>
    </rPh>
    <rPh sb="15" eb="17">
      <t>タンカ</t>
    </rPh>
    <rPh sb="18" eb="19">
      <t>エン</t>
    </rPh>
    <phoneticPr fontId="1"/>
  </si>
  <si>
    <t>維持管理費(補助燃料費)</t>
    <rPh sb="6" eb="8">
      <t>ホジョ</t>
    </rPh>
    <rPh sb="8" eb="10">
      <t>ネンリョウ</t>
    </rPh>
    <rPh sb="10" eb="11">
      <t>ヒ</t>
    </rPh>
    <phoneticPr fontId="1"/>
  </si>
  <si>
    <t>kL/年</t>
    <rPh sb="3" eb="4">
      <t>ネン</t>
    </rPh>
    <phoneticPr fontId="1"/>
  </si>
  <si>
    <t>Y=0.098×XD</t>
    <phoneticPr fontId="1"/>
  </si>
  <si>
    <t>無機凝集剤(ポリ鉄)単価(円/kg)</t>
    <rPh sb="0" eb="2">
      <t>ムキ</t>
    </rPh>
    <rPh sb="2" eb="4">
      <t>ギョウシュウ</t>
    </rPh>
    <rPh sb="4" eb="5">
      <t>ザイ</t>
    </rPh>
    <rPh sb="8" eb="9">
      <t>テツ</t>
    </rPh>
    <phoneticPr fontId="1"/>
  </si>
  <si>
    <t>補助燃料(A重油)単価(円/L)</t>
    <rPh sb="0" eb="2">
      <t>ホジョ</t>
    </rPh>
    <rPh sb="2" eb="4">
      <t>ネンリョウ</t>
    </rPh>
    <rPh sb="6" eb="8">
      <t>ジュウユ</t>
    </rPh>
    <rPh sb="9" eb="11">
      <t>タンカ</t>
    </rPh>
    <rPh sb="12" eb="13">
      <t>エン</t>
    </rPh>
    <phoneticPr fontId="1"/>
  </si>
  <si>
    <t>百万円/年</t>
    <phoneticPr fontId="1"/>
  </si>
  <si>
    <t>㉗</t>
    <phoneticPr fontId="1"/>
  </si>
  <si>
    <t>MWh/年</t>
    <phoneticPr fontId="1"/>
  </si>
  <si>
    <r>
      <t>Y=発電電力量(MWh/年)×単価（円/kW)×10</t>
    </r>
    <r>
      <rPr>
        <vertAlign val="superscript"/>
        <sz val="11"/>
        <color theme="1"/>
        <rFont val="游ゴシック"/>
        <family val="3"/>
        <charset val="128"/>
        <scheme val="minor"/>
      </rPr>
      <t>-3</t>
    </r>
    <rPh sb="2" eb="4">
      <t>ハツデン</t>
    </rPh>
    <rPh sb="4" eb="6">
      <t>デンリョク</t>
    </rPh>
    <rPh sb="6" eb="7">
      <t>リョウ</t>
    </rPh>
    <rPh sb="12" eb="13">
      <t>ネン</t>
    </rPh>
    <rPh sb="15" eb="17">
      <t>タンカ</t>
    </rPh>
    <rPh sb="18" eb="19">
      <t>エン</t>
    </rPh>
    <phoneticPr fontId="1"/>
  </si>
  <si>
    <r>
      <t>Y=補助燃料使用量（kL/年)×単価（円/L)×10</t>
    </r>
    <r>
      <rPr>
        <vertAlign val="superscript"/>
        <sz val="11"/>
        <color theme="1"/>
        <rFont val="游ゴシック"/>
        <family val="3"/>
        <charset val="128"/>
        <scheme val="minor"/>
      </rPr>
      <t>-3</t>
    </r>
    <rPh sb="13" eb="14">
      <t>ネン</t>
    </rPh>
    <rPh sb="16" eb="18">
      <t>タンカ</t>
    </rPh>
    <rPh sb="19" eb="20">
      <t>エン</t>
    </rPh>
    <phoneticPr fontId="1"/>
  </si>
  <si>
    <t>苛性ソーダ
(t/年)</t>
    <rPh sb="0" eb="2">
      <t>カセイ</t>
    </rPh>
    <rPh sb="9" eb="10">
      <t>ネン</t>
    </rPh>
    <phoneticPr fontId="1"/>
  </si>
  <si>
    <t>Y=42.98×XD</t>
    <phoneticPr fontId="1"/>
  </si>
  <si>
    <t>苛性ソーダ(24%)単価(円/kg)</t>
    <rPh sb="0" eb="2">
      <t>カセイ</t>
    </rPh>
    <phoneticPr fontId="1"/>
  </si>
  <si>
    <r>
      <t>Y＝薬品使用量（t/年)×単価（円/kg)×10</t>
    </r>
    <r>
      <rPr>
        <vertAlign val="superscript"/>
        <sz val="11"/>
        <color theme="1"/>
        <rFont val="游ゴシック"/>
        <family val="3"/>
        <charset val="128"/>
        <scheme val="minor"/>
      </rPr>
      <t>-3</t>
    </r>
    <rPh sb="2" eb="4">
      <t>ヤクヒン</t>
    </rPh>
    <rPh sb="4" eb="7">
      <t>シヨウリョウ</t>
    </rPh>
    <rPh sb="10" eb="11">
      <t>ネン</t>
    </rPh>
    <rPh sb="13" eb="15">
      <t>タンカ</t>
    </rPh>
    <rPh sb="16" eb="17">
      <t>エン</t>
    </rPh>
    <phoneticPr fontId="1"/>
  </si>
  <si>
    <t>維持管理費(灰処分費)</t>
    <rPh sb="0" eb="2">
      <t>イジ</t>
    </rPh>
    <rPh sb="2" eb="5">
      <t>カンリヒ</t>
    </rPh>
    <rPh sb="6" eb="7">
      <t>ハイ</t>
    </rPh>
    <rPh sb="7" eb="9">
      <t>ショブン</t>
    </rPh>
    <rPh sb="9" eb="10">
      <t>ヒ</t>
    </rPh>
    <phoneticPr fontId="1"/>
  </si>
  <si>
    <t>維持管理費(灰処分費)</t>
    <rPh sb="0" eb="2">
      <t>イジ</t>
    </rPh>
    <rPh sb="2" eb="5">
      <t>カンリヒ</t>
    </rPh>
    <phoneticPr fontId="1"/>
  </si>
  <si>
    <t>焼却炉の立ち上げ時のみ使用</t>
    <rPh sb="0" eb="2">
      <t>ショウキャク</t>
    </rPh>
    <rPh sb="2" eb="3">
      <t>ロ</t>
    </rPh>
    <rPh sb="4" eb="5">
      <t>タ</t>
    </rPh>
    <rPh sb="6" eb="7">
      <t>ア</t>
    </rPh>
    <rPh sb="8" eb="9">
      <t>ジ</t>
    </rPh>
    <rPh sb="11" eb="13">
      <t>シヨウ</t>
    </rPh>
    <phoneticPr fontId="1"/>
  </si>
  <si>
    <t>Y=75.56×XD</t>
    <phoneticPr fontId="1"/>
  </si>
  <si>
    <r>
      <t>Y=灰発生量(t/年)×単価(円/t)×10</t>
    </r>
    <r>
      <rPr>
        <vertAlign val="superscript"/>
        <sz val="11"/>
        <color theme="1"/>
        <rFont val="游ゴシック"/>
        <family val="3"/>
        <charset val="128"/>
        <scheme val="minor"/>
      </rPr>
      <t>-6</t>
    </r>
    <rPh sb="2" eb="3">
      <t>ハイ</t>
    </rPh>
    <rPh sb="3" eb="5">
      <t>ハッセイ</t>
    </rPh>
    <rPh sb="5" eb="6">
      <t>リョウ</t>
    </rPh>
    <rPh sb="9" eb="10">
      <t>ネン</t>
    </rPh>
    <rPh sb="12" eb="14">
      <t>タンカ</t>
    </rPh>
    <rPh sb="15" eb="16">
      <t>エン</t>
    </rPh>
    <phoneticPr fontId="1"/>
  </si>
  <si>
    <t>灰発生量
(t/年)</t>
    <rPh sb="0" eb="1">
      <t>ハイ</t>
    </rPh>
    <rPh sb="1" eb="3">
      <t>ハッセイ</t>
    </rPh>
    <rPh sb="3" eb="4">
      <t>リョウ</t>
    </rPh>
    <rPh sb="8" eb="9">
      <t>ネン</t>
    </rPh>
    <phoneticPr fontId="1"/>
  </si>
  <si>
    <t>維持管理費(点検・補修費)</t>
    <rPh sb="0" eb="2">
      <t>イジ</t>
    </rPh>
    <rPh sb="2" eb="5">
      <t>カンリヒ</t>
    </rPh>
    <rPh sb="6" eb="8">
      <t>テンケン</t>
    </rPh>
    <rPh sb="9" eb="11">
      <t>ホシュウ</t>
    </rPh>
    <rPh sb="11" eb="12">
      <t>ヒ</t>
    </rPh>
    <phoneticPr fontId="1"/>
  </si>
  <si>
    <t>㉙</t>
    <phoneticPr fontId="1"/>
  </si>
  <si>
    <t>維持管理費(人件費)</t>
    <rPh sb="0" eb="2">
      <t>イジ</t>
    </rPh>
    <rPh sb="2" eb="5">
      <t>カンリヒ</t>
    </rPh>
    <rPh sb="6" eb="9">
      <t>ジンケンヒ</t>
    </rPh>
    <rPh sb="8" eb="9">
      <t>ヒ</t>
    </rPh>
    <phoneticPr fontId="1"/>
  </si>
  <si>
    <t>㉕</t>
    <phoneticPr fontId="1"/>
  </si>
  <si>
    <t>㉖</t>
    <phoneticPr fontId="1"/>
  </si>
  <si>
    <t>㉘</t>
    <phoneticPr fontId="1"/>
  </si>
  <si>
    <t>㉚</t>
    <phoneticPr fontId="1"/>
  </si>
  <si>
    <t>㉔：㉒＋㉓</t>
    <phoneticPr fontId="1"/>
  </si>
  <si>
    <t>㉛</t>
    <phoneticPr fontId="1"/>
  </si>
  <si>
    <t>㉜：㉑＋㉔＋㉕－㉖＋㉗＋㉘＋㉙＋㉚</t>
    <phoneticPr fontId="1"/>
  </si>
  <si>
    <t>※バイオソリッド利活用基本計画策定マニュアルに基づき設定</t>
    <rPh sb="23" eb="24">
      <t>モト</t>
    </rPh>
    <rPh sb="26" eb="28">
      <t>セッテイ</t>
    </rPh>
    <phoneticPr fontId="1"/>
  </si>
  <si>
    <t>発電設備</t>
    <rPh sb="0" eb="2">
      <t>ハツデン</t>
    </rPh>
    <rPh sb="2" eb="4">
      <t>セツビ</t>
    </rPh>
    <phoneticPr fontId="1"/>
  </si>
  <si>
    <t>従来技術</t>
    <phoneticPr fontId="1"/>
  </si>
  <si>
    <t>建設費</t>
    <phoneticPr fontId="1"/>
  </si>
  <si>
    <t>㉝撤去費は労務費の40％、労務費は建設費の15％とする。またスクラップ費は建設費の4％とする。</t>
    <rPh sb="1" eb="3">
      <t>テッキョ</t>
    </rPh>
    <rPh sb="3" eb="4">
      <t>ヒ</t>
    </rPh>
    <rPh sb="5" eb="8">
      <t>ロウムヒ</t>
    </rPh>
    <rPh sb="13" eb="16">
      <t>ロウムヒ</t>
    </rPh>
    <rPh sb="17" eb="20">
      <t>ケンセツヒ</t>
    </rPh>
    <rPh sb="35" eb="36">
      <t>ヒ</t>
    </rPh>
    <rPh sb="37" eb="40">
      <t>ケンセツヒ</t>
    </rPh>
    <phoneticPr fontId="1"/>
  </si>
  <si>
    <t>b：⑳＋㉜＋㉝</t>
    <phoneticPr fontId="1"/>
  </si>
  <si>
    <t>費用削減効果</t>
    <rPh sb="0" eb="2">
      <t>ヒヨウ</t>
    </rPh>
    <rPh sb="2" eb="4">
      <t>サクゲン</t>
    </rPh>
    <rPh sb="4" eb="6">
      <t>コウカ</t>
    </rPh>
    <phoneticPr fontId="1"/>
  </si>
  <si>
    <t>維持管理費</t>
    <rPh sb="0" eb="2">
      <t>イジ</t>
    </rPh>
    <rPh sb="2" eb="4">
      <t>カンリ</t>
    </rPh>
    <phoneticPr fontId="1"/>
  </si>
  <si>
    <t>㉜</t>
    <phoneticPr fontId="1"/>
  </si>
  <si>
    <t>Y=Σ[工種別建設費年価／i(1+i)n×{(1+i)n-1}]</t>
    <phoneticPr fontId="1"/>
  </si>
  <si>
    <t>革新的技術による建設費削減効果</t>
    <rPh sb="0" eb="3">
      <t>カクシンテキ</t>
    </rPh>
    <rPh sb="3" eb="5">
      <t>ギジュツ</t>
    </rPh>
    <rPh sb="8" eb="11">
      <t>ケンセツヒ</t>
    </rPh>
    <rPh sb="11" eb="13">
      <t>サクゲン</t>
    </rPh>
    <rPh sb="13" eb="15">
      <t>コウカ</t>
    </rPh>
    <phoneticPr fontId="1"/>
  </si>
  <si>
    <t>a：⑥</t>
    <phoneticPr fontId="1"/>
  </si>
  <si>
    <t>b：⑭、⑮、⑯、⑰、⑱、⑲より算出</t>
    <rPh sb="15" eb="17">
      <t>サンシュツ</t>
    </rPh>
    <phoneticPr fontId="1"/>
  </si>
  <si>
    <t>革新的技術による維持管理費削減効果</t>
    <rPh sb="0" eb="3">
      <t>カクシンテキ</t>
    </rPh>
    <rPh sb="3" eb="5">
      <t>ギジュツ</t>
    </rPh>
    <rPh sb="8" eb="10">
      <t>イジ</t>
    </rPh>
    <rPh sb="10" eb="13">
      <t>カンリヒ</t>
    </rPh>
    <rPh sb="13" eb="15">
      <t>サクゲン</t>
    </rPh>
    <rPh sb="15" eb="17">
      <t>コウカ</t>
    </rPh>
    <phoneticPr fontId="1"/>
  </si>
  <si>
    <t>⑫</t>
    <phoneticPr fontId="1"/>
  </si>
  <si>
    <t>(1-㉜/⑫)×100</t>
    <phoneticPr fontId="1"/>
  </si>
  <si>
    <t>脱水汚泥焼却量：Xw(wet-t/日)</t>
    <rPh sb="0" eb="2">
      <t>ダッスイ</t>
    </rPh>
    <rPh sb="2" eb="4">
      <t>オデイ</t>
    </rPh>
    <rPh sb="4" eb="6">
      <t>ショウキャク</t>
    </rPh>
    <rPh sb="6" eb="7">
      <t>リョウ</t>
    </rPh>
    <rPh sb="17" eb="18">
      <t>ニチ</t>
    </rPh>
    <phoneticPr fontId="1"/>
  </si>
  <si>
    <r>
      <t>Y</t>
    </r>
    <r>
      <rPr>
        <sz val="11"/>
        <color theme="1"/>
        <rFont val="游ゴシック"/>
        <family val="2"/>
        <charset val="128"/>
        <scheme val="minor"/>
      </rPr>
      <t>=0.039×（XD(t-DS/日)／1%×稼働日数(日/年)×
負荷率(％)）</t>
    </r>
    <r>
      <rPr>
        <vertAlign val="superscript"/>
        <sz val="11"/>
        <color theme="1"/>
        <rFont val="游ゴシック"/>
        <family val="3"/>
        <charset val="128"/>
        <scheme val="minor"/>
      </rPr>
      <t>0.596</t>
    </r>
    <rPh sb="23" eb="25">
      <t>カドウ</t>
    </rPh>
    <rPh sb="25" eb="27">
      <t>ニッスウ</t>
    </rPh>
    <rPh sb="28" eb="29">
      <t>ニチ</t>
    </rPh>
    <rPh sb="30" eb="31">
      <t>ネン</t>
    </rPh>
    <rPh sb="34" eb="36">
      <t>フカ</t>
    </rPh>
    <rPh sb="36" eb="37">
      <t>リツ</t>
    </rPh>
    <phoneticPr fontId="1"/>
  </si>
  <si>
    <r>
      <t>Y</t>
    </r>
    <r>
      <rPr>
        <sz val="11"/>
        <color theme="1"/>
        <rFont val="游ゴシック"/>
        <family val="2"/>
        <charset val="128"/>
        <scheme val="minor"/>
      </rPr>
      <t>=0.287（Xw(t-wet/日)×稼働日数(日/年)×
負荷率(％)）</t>
    </r>
    <r>
      <rPr>
        <vertAlign val="superscript"/>
        <sz val="11"/>
        <color theme="1"/>
        <rFont val="游ゴシック"/>
        <family val="3"/>
        <charset val="128"/>
        <scheme val="minor"/>
      </rPr>
      <t>0.673</t>
    </r>
    <rPh sb="17" eb="18">
      <t>ニチ</t>
    </rPh>
    <phoneticPr fontId="1"/>
  </si>
  <si>
    <t>高分子凝集剤</t>
    <rPh sb="0" eb="3">
      <t>コウブンシ</t>
    </rPh>
    <rPh sb="3" eb="5">
      <t>ギョウシュウ</t>
    </rPh>
    <rPh sb="5" eb="6">
      <t>ザイ</t>
    </rPh>
    <phoneticPr fontId="1"/>
  </si>
  <si>
    <t>①、Xw：脱水汚泥焼却量(wet-t/日)</t>
    <phoneticPr fontId="1"/>
  </si>
  <si>
    <r>
      <t>Y=22(kWh/wet-t)×Xw×稼働日数(日/年)×
負荷率(％)×10</t>
    </r>
    <r>
      <rPr>
        <vertAlign val="superscript"/>
        <sz val="11"/>
        <rFont val="游ゴシック"/>
        <family val="3"/>
        <charset val="128"/>
        <scheme val="minor"/>
      </rPr>
      <t>-3</t>
    </r>
    <rPh sb="19" eb="21">
      <t>カドウ</t>
    </rPh>
    <rPh sb="21" eb="23">
      <t>ニッスウ</t>
    </rPh>
    <rPh sb="24" eb="25">
      <t>ヒ</t>
    </rPh>
    <rPh sb="26" eb="27">
      <t>ネン</t>
    </rPh>
    <phoneticPr fontId="1"/>
  </si>
  <si>
    <t>焼却・発電設備</t>
    <rPh sb="0" eb="2">
      <t>ショウキャク</t>
    </rPh>
    <rPh sb="3" eb="5">
      <t>ハツデン</t>
    </rPh>
    <rPh sb="5" eb="7">
      <t>セツビ</t>
    </rPh>
    <phoneticPr fontId="1"/>
  </si>
  <si>
    <t>消費電力量合計</t>
    <rPh sb="0" eb="2">
      <t>ショウヒ</t>
    </rPh>
    <rPh sb="2" eb="4">
      <t>デンリョク</t>
    </rPh>
    <rPh sb="4" eb="5">
      <t>リョウ</t>
    </rPh>
    <rPh sb="5" eb="7">
      <t>ゴウケイ</t>
    </rPh>
    <phoneticPr fontId="1"/>
  </si>
  <si>
    <t>MWh/年</t>
    <rPh sb="4" eb="5">
      <t>ネン</t>
    </rPh>
    <phoneticPr fontId="1"/>
  </si>
  <si>
    <t>③：①＋②</t>
    <phoneticPr fontId="1"/>
  </si>
  <si>
    <t>GJ/年</t>
    <rPh sb="3" eb="4">
      <t>ネン</t>
    </rPh>
    <phoneticPr fontId="1"/>
  </si>
  <si>
    <t>エネルギー消費量原単位</t>
    <rPh sb="5" eb="8">
      <t>ショウヒリョウ</t>
    </rPh>
    <rPh sb="8" eb="11">
      <t>ゲンタンイ</t>
    </rPh>
    <phoneticPr fontId="1"/>
  </si>
  <si>
    <t>電気</t>
    <rPh sb="0" eb="2">
      <t>デンキ</t>
    </rPh>
    <phoneticPr fontId="1"/>
  </si>
  <si>
    <t>(MJ/kWh)</t>
    <phoneticPr fontId="1"/>
  </si>
  <si>
    <t>補助燃料(A重油)</t>
    <rPh sb="0" eb="2">
      <t>ホジョ</t>
    </rPh>
    <rPh sb="2" eb="4">
      <t>ネンリョウ</t>
    </rPh>
    <rPh sb="6" eb="8">
      <t>ジュウユ</t>
    </rPh>
    <phoneticPr fontId="1"/>
  </si>
  <si>
    <t>(MJ/L)</t>
    <phoneticPr fontId="1"/>
  </si>
  <si>
    <t>Y=消費電力合計(MWh/年)×エネルギー消費原単位(MJ/kWh)</t>
    <rPh sb="2" eb="4">
      <t>ショウヒ</t>
    </rPh>
    <rPh sb="4" eb="6">
      <t>デンリョク</t>
    </rPh>
    <rPh sb="6" eb="8">
      <t>ゴウケイ</t>
    </rPh>
    <rPh sb="13" eb="14">
      <t>ネン</t>
    </rPh>
    <rPh sb="21" eb="23">
      <t>ショウヒ</t>
    </rPh>
    <rPh sb="23" eb="26">
      <t>ゲンタンイ</t>
    </rPh>
    <phoneticPr fontId="1"/>
  </si>
  <si>
    <t>Y=消費電力量(MWh/年)×エネルギー消費原単位(MJ/kWh)
×20,467(GJ/年)/26,778(GJ/年)</t>
    <rPh sb="2" eb="4">
      <t>ショウヒ</t>
    </rPh>
    <rPh sb="4" eb="6">
      <t>デンリョク</t>
    </rPh>
    <rPh sb="6" eb="7">
      <t>リョウ</t>
    </rPh>
    <rPh sb="12" eb="13">
      <t>ネン</t>
    </rPh>
    <phoneticPr fontId="1"/>
  </si>
  <si>
    <t>④</t>
    <phoneticPr fontId="1"/>
  </si>
  <si>
    <t>⑥：④＋⑤</t>
    <phoneticPr fontId="1"/>
  </si>
  <si>
    <t>エネルギー消費量合計</t>
    <rPh sb="5" eb="8">
      <t>ショウヒリョウ</t>
    </rPh>
    <rPh sb="8" eb="10">
      <t>ゴウケイ</t>
    </rPh>
    <phoneticPr fontId="1"/>
  </si>
  <si>
    <t>⑦、XD：汚泥中固形物量(t-DS/日)</t>
    <phoneticPr fontId="1"/>
  </si>
  <si>
    <t>⑧、XD：汚泥中固形物量(t-DS/日)
発電設備消費電力を含む。</t>
    <rPh sb="21" eb="23">
      <t>ハツデン</t>
    </rPh>
    <rPh sb="23" eb="25">
      <t>セツビ</t>
    </rPh>
    <rPh sb="25" eb="27">
      <t>ショウヒ</t>
    </rPh>
    <rPh sb="27" eb="29">
      <t>デンリョク</t>
    </rPh>
    <rPh sb="30" eb="31">
      <t>フク</t>
    </rPh>
    <phoneticPr fontId="1"/>
  </si>
  <si>
    <t>⑨：⑦＋⑧</t>
    <phoneticPr fontId="1"/>
  </si>
  <si>
    <t>補助燃料（A重油）</t>
    <rPh sb="0" eb="2">
      <t>ホジョ</t>
    </rPh>
    <rPh sb="2" eb="4">
      <t>ネンリョウ</t>
    </rPh>
    <rPh sb="6" eb="8">
      <t>ジュウユ</t>
    </rPh>
    <phoneticPr fontId="1"/>
  </si>
  <si>
    <t>⑩</t>
    <phoneticPr fontId="1"/>
  </si>
  <si>
    <t>⑪、XD：汚泥中固形物量(t-DS/日)</t>
    <phoneticPr fontId="1"/>
  </si>
  <si>
    <t>補助燃料</t>
    <rPh sb="0" eb="2">
      <t>ホジョ</t>
    </rPh>
    <rPh sb="2" eb="4">
      <t>ネンリョウ</t>
    </rPh>
    <phoneticPr fontId="1"/>
  </si>
  <si>
    <t>Y=補助燃料(kL/年)×エネルギー消費原単位(MJ/L)</t>
    <rPh sb="2" eb="4">
      <t>ホジョ</t>
    </rPh>
    <rPh sb="4" eb="6">
      <t>ネンリョウ</t>
    </rPh>
    <rPh sb="10" eb="11">
      <t>ネン</t>
    </rPh>
    <phoneticPr fontId="1"/>
  </si>
  <si>
    <t>⑬：⑩＋⑫</t>
    <phoneticPr fontId="1"/>
  </si>
  <si>
    <t>⑭、XD：汚泥中固形物量(t-DS/日)</t>
    <phoneticPr fontId="1"/>
  </si>
  <si>
    <t>Y=発電電力(MWh/年)×エネルギー消費原単位(MJ/kWh)</t>
    <rPh sb="2" eb="4">
      <t>ハツデン</t>
    </rPh>
    <rPh sb="4" eb="6">
      <t>デンリョク</t>
    </rPh>
    <phoneticPr fontId="1"/>
  </si>
  <si>
    <t>発電電力量（エネルギー創出量）</t>
    <rPh sb="0" eb="2">
      <t>ハツデン</t>
    </rPh>
    <rPh sb="2" eb="4">
      <t>デンリョク</t>
    </rPh>
    <rPh sb="4" eb="5">
      <t>リョウ</t>
    </rPh>
    <rPh sb="11" eb="13">
      <t>ソウシュツ</t>
    </rPh>
    <rPh sb="13" eb="14">
      <t>リョウ</t>
    </rPh>
    <phoneticPr fontId="1"/>
  </si>
  <si>
    <t>正味のエネルギー消費量合計</t>
    <rPh sb="0" eb="2">
      <t>ショウミ</t>
    </rPh>
    <rPh sb="8" eb="11">
      <t>ショウヒリョウ</t>
    </rPh>
    <rPh sb="11" eb="13">
      <t>ゴウケイ</t>
    </rPh>
    <phoneticPr fontId="1"/>
  </si>
  <si>
    <t>－(マイナス)はエネルギー創出を示す。</t>
    <rPh sb="13" eb="15">
      <t>ソウシュツ</t>
    </rPh>
    <rPh sb="16" eb="17">
      <t>シメ</t>
    </rPh>
    <phoneticPr fontId="1"/>
  </si>
  <si>
    <t>⑮</t>
    <phoneticPr fontId="1"/>
  </si>
  <si>
    <t>⑯：⑬－⑮</t>
    <phoneticPr fontId="1"/>
  </si>
  <si>
    <t>(1-⑯/⑥)×100</t>
    <phoneticPr fontId="1"/>
  </si>
  <si>
    <t>％</t>
    <phoneticPr fontId="1"/>
  </si>
  <si>
    <t>温室効果ガス排出量原単位</t>
    <rPh sb="0" eb="2">
      <t>オンシツ</t>
    </rPh>
    <rPh sb="2" eb="4">
      <t>コウカ</t>
    </rPh>
    <rPh sb="6" eb="8">
      <t>ハイシュツ</t>
    </rPh>
    <rPh sb="8" eb="9">
      <t>リョウ</t>
    </rPh>
    <rPh sb="9" eb="12">
      <t>ゲンタンイ</t>
    </rPh>
    <phoneticPr fontId="1"/>
  </si>
  <si>
    <r>
      <t>(kg-CO</t>
    </r>
    <r>
      <rPr>
        <vertAlign val="subscript"/>
        <sz val="11"/>
        <color theme="1"/>
        <rFont val="游ゴシック"/>
        <family val="3"/>
        <charset val="128"/>
        <scheme val="minor"/>
      </rPr>
      <t>2</t>
    </r>
    <r>
      <rPr>
        <sz val="11"/>
        <color theme="1"/>
        <rFont val="游ゴシック"/>
        <family val="2"/>
        <charset val="128"/>
        <scheme val="minor"/>
      </rPr>
      <t>/kWh)</t>
    </r>
    <phoneticPr fontId="1"/>
  </si>
  <si>
    <r>
      <t>(kg-CO</t>
    </r>
    <r>
      <rPr>
        <vertAlign val="subscript"/>
        <sz val="11"/>
        <color theme="1"/>
        <rFont val="游ゴシック"/>
        <family val="3"/>
        <charset val="128"/>
        <scheme val="minor"/>
      </rPr>
      <t>2</t>
    </r>
    <r>
      <rPr>
        <sz val="11"/>
        <color theme="1"/>
        <rFont val="游ゴシック"/>
        <family val="2"/>
        <charset val="128"/>
        <scheme val="minor"/>
      </rPr>
      <t>/L)</t>
    </r>
    <phoneticPr fontId="1"/>
  </si>
  <si>
    <t>無機凝集剤</t>
    <rPh sb="0" eb="2">
      <t>ムキ</t>
    </rPh>
    <rPh sb="2" eb="4">
      <t>ギョウシュウ</t>
    </rPh>
    <rPh sb="4" eb="5">
      <t>ザイ</t>
    </rPh>
    <phoneticPr fontId="1"/>
  </si>
  <si>
    <t>苛性ソーダ</t>
    <rPh sb="0" eb="2">
      <t>カセイ</t>
    </rPh>
    <phoneticPr fontId="1"/>
  </si>
  <si>
    <t>※1：粉体基準</t>
    <rPh sb="3" eb="5">
      <t>フンタイ</t>
    </rPh>
    <rPh sb="5" eb="7">
      <t>キジュン</t>
    </rPh>
    <phoneticPr fontId="1"/>
  </si>
  <si>
    <t>※2：ポリ鉄、11%水溶液ベース</t>
    <rPh sb="5" eb="6">
      <t>テツ</t>
    </rPh>
    <rPh sb="10" eb="13">
      <t>スイヨウエキ</t>
    </rPh>
    <phoneticPr fontId="1"/>
  </si>
  <si>
    <t>※3：濃度100％</t>
    <rPh sb="3" eb="5">
      <t>ノウド</t>
    </rPh>
    <phoneticPr fontId="1"/>
  </si>
  <si>
    <r>
      <t>Y=消費電力量(MWh/年)×原単位(電気、kg-CO</t>
    </r>
    <r>
      <rPr>
        <vertAlign val="subscript"/>
        <sz val="11"/>
        <color theme="1"/>
        <rFont val="游ゴシック"/>
        <family val="3"/>
        <charset val="128"/>
        <scheme val="minor"/>
      </rPr>
      <t>2</t>
    </r>
    <r>
      <rPr>
        <sz val="11"/>
        <color theme="1"/>
        <rFont val="游ゴシック"/>
        <family val="2"/>
        <charset val="128"/>
        <scheme val="minor"/>
      </rPr>
      <t>/kWh)</t>
    </r>
    <rPh sb="2" eb="4">
      <t>ショウヒ</t>
    </rPh>
    <rPh sb="4" eb="6">
      <t>デンリョク</t>
    </rPh>
    <rPh sb="6" eb="7">
      <t>リョウ</t>
    </rPh>
    <rPh sb="12" eb="13">
      <t>ネン</t>
    </rPh>
    <rPh sb="15" eb="18">
      <t>ゲンタンイ</t>
    </rPh>
    <rPh sb="19" eb="21">
      <t>デンキ</t>
    </rPh>
    <phoneticPr fontId="1"/>
  </si>
  <si>
    <t>高分子凝集剤由来GHG排出量</t>
    <rPh sb="0" eb="3">
      <t>コウブンシ</t>
    </rPh>
    <rPh sb="3" eb="5">
      <t>ギョウシュウ</t>
    </rPh>
    <rPh sb="5" eb="6">
      <t>ザイ</t>
    </rPh>
    <rPh sb="6" eb="8">
      <t>ユライ</t>
    </rPh>
    <rPh sb="11" eb="14">
      <t>ハイシュツリョウ</t>
    </rPh>
    <phoneticPr fontId="1"/>
  </si>
  <si>
    <r>
      <t>(kg-CO</t>
    </r>
    <r>
      <rPr>
        <vertAlign val="subscript"/>
        <sz val="11"/>
        <color theme="1"/>
        <rFont val="游ゴシック"/>
        <family val="3"/>
        <charset val="128"/>
        <scheme val="minor"/>
      </rPr>
      <t>2</t>
    </r>
    <r>
      <rPr>
        <sz val="11"/>
        <color theme="1"/>
        <rFont val="游ゴシック"/>
        <family val="2"/>
        <charset val="128"/>
        <scheme val="minor"/>
      </rPr>
      <t>/kg)</t>
    </r>
    <r>
      <rPr>
        <vertAlign val="superscript"/>
        <sz val="11"/>
        <color theme="1"/>
        <rFont val="游ゴシック"/>
        <family val="3"/>
        <charset val="128"/>
        <scheme val="minor"/>
      </rPr>
      <t>※1</t>
    </r>
    <phoneticPr fontId="1"/>
  </si>
  <si>
    <r>
      <t>(kg-CO</t>
    </r>
    <r>
      <rPr>
        <vertAlign val="subscript"/>
        <sz val="11"/>
        <color theme="1"/>
        <rFont val="游ゴシック"/>
        <family val="3"/>
        <charset val="128"/>
        <scheme val="minor"/>
      </rPr>
      <t>2</t>
    </r>
    <r>
      <rPr>
        <sz val="11"/>
        <color theme="1"/>
        <rFont val="游ゴシック"/>
        <family val="2"/>
        <charset val="128"/>
        <scheme val="minor"/>
      </rPr>
      <t>/kg)</t>
    </r>
    <r>
      <rPr>
        <vertAlign val="superscript"/>
        <sz val="11"/>
        <color theme="1"/>
        <rFont val="游ゴシック"/>
        <family val="3"/>
        <charset val="128"/>
        <scheme val="minor"/>
      </rPr>
      <t>※2</t>
    </r>
    <phoneticPr fontId="1"/>
  </si>
  <si>
    <r>
      <t>(kg-CO</t>
    </r>
    <r>
      <rPr>
        <vertAlign val="subscript"/>
        <sz val="11"/>
        <color theme="1"/>
        <rFont val="游ゴシック"/>
        <family val="3"/>
        <charset val="128"/>
        <scheme val="minor"/>
      </rPr>
      <t>2</t>
    </r>
    <r>
      <rPr>
        <sz val="11"/>
        <color theme="1"/>
        <rFont val="游ゴシック"/>
        <family val="2"/>
        <charset val="128"/>
        <scheme val="minor"/>
      </rPr>
      <t>/kg)</t>
    </r>
    <r>
      <rPr>
        <vertAlign val="superscript"/>
        <sz val="11"/>
        <color theme="1"/>
        <rFont val="游ゴシック"/>
        <family val="3"/>
        <charset val="128"/>
        <scheme val="minor"/>
      </rPr>
      <t>※3</t>
    </r>
    <phoneticPr fontId="1"/>
  </si>
  <si>
    <t>Y=0.005XD×稼働日数(日/年)×負荷率(％)</t>
    <rPh sb="10" eb="12">
      <t>カドウ</t>
    </rPh>
    <rPh sb="12" eb="14">
      <t>ニッスウ</t>
    </rPh>
    <rPh sb="15" eb="16">
      <t>ニチ</t>
    </rPh>
    <rPh sb="17" eb="18">
      <t>ネン</t>
    </rPh>
    <rPh sb="20" eb="22">
      <t>フカ</t>
    </rPh>
    <rPh sb="22" eb="23">
      <t>リツ</t>
    </rPh>
    <phoneticPr fontId="1"/>
  </si>
  <si>
    <t>×原単位(高分子凝集剤、kg-CO2/kg)</t>
    <phoneticPr fontId="1"/>
  </si>
  <si>
    <t>②、XD：汚泥中固形物量(t-DS/日)</t>
    <phoneticPr fontId="1"/>
  </si>
  <si>
    <t>焼却設備</t>
    <phoneticPr fontId="1"/>
  </si>
  <si>
    <t>補助燃料由来GHG排出量</t>
    <rPh sb="0" eb="2">
      <t>ホジョ</t>
    </rPh>
    <rPh sb="2" eb="4">
      <t>ネンリョウ</t>
    </rPh>
    <rPh sb="4" eb="6">
      <t>ユライ</t>
    </rPh>
    <rPh sb="9" eb="12">
      <t>ハイシュツリョウ</t>
    </rPh>
    <phoneticPr fontId="1"/>
  </si>
  <si>
    <t>Y=補助燃料(GJ/年)/エネルギー消費量原単位(補助燃料、MJ/L)</t>
    <rPh sb="2" eb="4">
      <t>ホジョ</t>
    </rPh>
    <rPh sb="4" eb="6">
      <t>ネンリョウ</t>
    </rPh>
    <rPh sb="10" eb="11">
      <t>ネン</t>
    </rPh>
    <rPh sb="18" eb="21">
      <t>ショウヒリョウ</t>
    </rPh>
    <rPh sb="21" eb="24">
      <t>ゲンタンイ</t>
    </rPh>
    <rPh sb="25" eb="27">
      <t>ホジョ</t>
    </rPh>
    <rPh sb="27" eb="29">
      <t>ネンリョウ</t>
    </rPh>
    <phoneticPr fontId="1"/>
  </si>
  <si>
    <t>×原単位(補助燃料、kg-CO2/L)</t>
    <rPh sb="5" eb="7">
      <t>ホジョ</t>
    </rPh>
    <rPh sb="7" eb="9">
      <t>ネンリョウ</t>
    </rPh>
    <phoneticPr fontId="1"/>
  </si>
  <si>
    <t>苛性ソーダ由来GHG排出量</t>
    <rPh sb="0" eb="2">
      <t>カセイ</t>
    </rPh>
    <rPh sb="5" eb="7">
      <t>ユライ</t>
    </rPh>
    <rPh sb="10" eb="13">
      <t>ハイシュツリョウ</t>
    </rPh>
    <phoneticPr fontId="1"/>
  </si>
  <si>
    <t>薬注率0.5%-TSにて算出。</t>
    <rPh sb="0" eb="1">
      <t>ヤク</t>
    </rPh>
    <rPh sb="1" eb="2">
      <t>チュウ</t>
    </rPh>
    <rPh sb="2" eb="3">
      <t>リツ</t>
    </rPh>
    <rPh sb="12" eb="14">
      <t>サンシュツ</t>
    </rPh>
    <phoneticPr fontId="1"/>
  </si>
  <si>
    <t>⑤：メーカーヒアリング値を用いて消費電力量との比率て算出。</t>
    <rPh sb="11" eb="12">
      <t>アタイ</t>
    </rPh>
    <rPh sb="13" eb="14">
      <t>モチ</t>
    </rPh>
    <rPh sb="23" eb="25">
      <t>ヒリツ</t>
    </rPh>
    <rPh sb="26" eb="28">
      <t>サンシュツ</t>
    </rPh>
    <phoneticPr fontId="1"/>
  </si>
  <si>
    <t>共用段階時合計</t>
    <rPh sb="0" eb="2">
      <t>キョウヨウ</t>
    </rPh>
    <rPh sb="2" eb="4">
      <t>ダンカイ</t>
    </rPh>
    <rPh sb="4" eb="5">
      <t>ジ</t>
    </rPh>
    <rPh sb="5" eb="7">
      <t>ゴウケイ</t>
    </rPh>
    <phoneticPr fontId="1"/>
  </si>
  <si>
    <t>建設段階時</t>
    <rPh sb="0" eb="2">
      <t>ケンセツ</t>
    </rPh>
    <rPh sb="2" eb="4">
      <t>ダンカイ</t>
    </rPh>
    <rPh sb="4" eb="5">
      <t>ジ</t>
    </rPh>
    <phoneticPr fontId="1"/>
  </si>
  <si>
    <t>解体・撤去時</t>
    <rPh sb="0" eb="2">
      <t>カイタイ</t>
    </rPh>
    <rPh sb="3" eb="5">
      <t>テッキョ</t>
    </rPh>
    <rPh sb="5" eb="6">
      <t>ジ</t>
    </rPh>
    <phoneticPr fontId="1"/>
  </si>
  <si>
    <r>
      <t>Y=共用段階時合計(t-CO</t>
    </r>
    <r>
      <rPr>
        <vertAlign val="subscript"/>
        <sz val="11"/>
        <rFont val="游ゴシック"/>
        <family val="3"/>
        <charset val="128"/>
        <scheme val="minor"/>
      </rPr>
      <t>2</t>
    </r>
    <r>
      <rPr>
        <sz val="11"/>
        <rFont val="游ゴシック"/>
        <family val="3"/>
        <charset val="128"/>
        <scheme val="minor"/>
      </rPr>
      <t>/年)/80.2×19.3</t>
    </r>
    <phoneticPr fontId="1"/>
  </si>
  <si>
    <t>焼却量比例にて算出。</t>
    <phoneticPr fontId="1"/>
  </si>
  <si>
    <t>⑤、メーカーヒアリング値を基に</t>
    <rPh sb="11" eb="12">
      <t>アタイ</t>
    </rPh>
    <rPh sb="13" eb="14">
      <t>モト</t>
    </rPh>
    <phoneticPr fontId="1"/>
  </si>
  <si>
    <t>⑥：①+②+③+④+⑤</t>
    <phoneticPr fontId="1"/>
  </si>
  <si>
    <t>⑦、共用段階を80.2%とし19.3%で算出。</t>
    <rPh sb="2" eb="4">
      <t>キョウヨウ</t>
    </rPh>
    <rPh sb="4" eb="6">
      <t>ダンカイ</t>
    </rPh>
    <rPh sb="20" eb="22">
      <t>サンシュツ</t>
    </rPh>
    <phoneticPr fontId="1"/>
  </si>
  <si>
    <t>⑧、共用段階を80.2%とし0.5%で算出。</t>
    <rPh sb="2" eb="4">
      <t>キョウヨウ</t>
    </rPh>
    <rPh sb="4" eb="6">
      <t>ダンカイ</t>
    </rPh>
    <rPh sb="19" eb="21">
      <t>サンシュツ</t>
    </rPh>
    <phoneticPr fontId="1"/>
  </si>
  <si>
    <r>
      <t>Y=共用段階時合計(t-CO</t>
    </r>
    <r>
      <rPr>
        <vertAlign val="subscript"/>
        <sz val="11"/>
        <rFont val="游ゴシック"/>
        <family val="3"/>
        <charset val="128"/>
        <scheme val="minor"/>
      </rPr>
      <t>2</t>
    </r>
    <r>
      <rPr>
        <sz val="11"/>
        <rFont val="游ゴシック"/>
        <family val="3"/>
        <charset val="128"/>
        <scheme val="minor"/>
      </rPr>
      <t>/年)/80.2×0.5</t>
    </r>
    <phoneticPr fontId="1"/>
  </si>
  <si>
    <r>
      <t>Y=0.000645(t-N</t>
    </r>
    <r>
      <rPr>
        <vertAlign val="subscript"/>
        <sz val="11"/>
        <color theme="1"/>
        <rFont val="游ゴシック"/>
        <family val="3"/>
        <charset val="128"/>
        <scheme val="minor"/>
      </rPr>
      <t>2</t>
    </r>
    <r>
      <rPr>
        <sz val="11"/>
        <color theme="1"/>
        <rFont val="游ゴシック"/>
        <family val="2"/>
        <charset val="128"/>
        <scheme val="minor"/>
      </rPr>
      <t>O/wet-t)Xw×稼働日数(日/年)×負荷率(%)</t>
    </r>
    <rPh sb="26" eb="28">
      <t>カドウ</t>
    </rPh>
    <rPh sb="28" eb="30">
      <t>ニッスウ</t>
    </rPh>
    <rPh sb="31" eb="32">
      <t>ヒ</t>
    </rPh>
    <rPh sb="33" eb="34">
      <t>ネン</t>
    </rPh>
    <rPh sb="36" eb="38">
      <t>フカ</t>
    </rPh>
    <rPh sb="38" eb="39">
      <t>リツ</t>
    </rPh>
    <phoneticPr fontId="1"/>
  </si>
  <si>
    <t>Xw：脱水汚泥焼却量(wet-t/日)</t>
    <phoneticPr fontId="1"/>
  </si>
  <si>
    <t>⑨</t>
    <phoneticPr fontId="1"/>
  </si>
  <si>
    <t>⑩：⑥+⑦+⑧+⑨</t>
    <phoneticPr fontId="1"/>
  </si>
  <si>
    <t>革新的技術</t>
    <rPh sb="0" eb="3">
      <t>カクシンテキ</t>
    </rPh>
    <phoneticPr fontId="1"/>
  </si>
  <si>
    <t>無機凝集剤由来GHG排出量</t>
    <rPh sb="0" eb="2">
      <t>ムキ</t>
    </rPh>
    <rPh sb="2" eb="4">
      <t>ギョウシュウ</t>
    </rPh>
    <rPh sb="4" eb="5">
      <t>ザイ</t>
    </rPh>
    <rPh sb="5" eb="7">
      <t>ユライ</t>
    </rPh>
    <rPh sb="10" eb="13">
      <t>ハイシュツリョウ</t>
    </rPh>
    <phoneticPr fontId="1"/>
  </si>
  <si>
    <t>Y=0.007XD×稼働日数(日/年)×負荷率(％)</t>
    <rPh sb="10" eb="12">
      <t>カドウ</t>
    </rPh>
    <rPh sb="12" eb="14">
      <t>ニッスウ</t>
    </rPh>
    <rPh sb="15" eb="16">
      <t>ニチ</t>
    </rPh>
    <rPh sb="17" eb="18">
      <t>ネン</t>
    </rPh>
    <rPh sb="20" eb="22">
      <t>フカ</t>
    </rPh>
    <rPh sb="22" eb="23">
      <t>リツ</t>
    </rPh>
    <phoneticPr fontId="1"/>
  </si>
  <si>
    <t>薬注率0.7%-TSにて算出。</t>
    <rPh sb="0" eb="1">
      <t>ヤク</t>
    </rPh>
    <rPh sb="1" eb="2">
      <t>チュウ</t>
    </rPh>
    <rPh sb="2" eb="3">
      <t>リツ</t>
    </rPh>
    <rPh sb="12" eb="14">
      <t>サンシュツ</t>
    </rPh>
    <phoneticPr fontId="1"/>
  </si>
  <si>
    <t>薬注率10%-TSにて算出。</t>
    <rPh sb="0" eb="1">
      <t>ヤク</t>
    </rPh>
    <rPh sb="1" eb="2">
      <t>チュウ</t>
    </rPh>
    <rPh sb="2" eb="3">
      <t>リツ</t>
    </rPh>
    <rPh sb="11" eb="13">
      <t>サンシュツ</t>
    </rPh>
    <phoneticPr fontId="1"/>
  </si>
  <si>
    <t>Y=0.1XD×稼働日数(日/年)×負荷率(％)</t>
    <rPh sb="8" eb="10">
      <t>カドウ</t>
    </rPh>
    <rPh sb="10" eb="12">
      <t>ニッスウ</t>
    </rPh>
    <rPh sb="13" eb="14">
      <t>ニチ</t>
    </rPh>
    <rPh sb="15" eb="16">
      <t>ネン</t>
    </rPh>
    <rPh sb="18" eb="20">
      <t>フカ</t>
    </rPh>
    <rPh sb="20" eb="21">
      <t>リツ</t>
    </rPh>
    <phoneticPr fontId="1"/>
  </si>
  <si>
    <t>×原単位(無機凝集剤、kg-CO2/kg)</t>
    <rPh sb="5" eb="7">
      <t>ムキ</t>
    </rPh>
    <phoneticPr fontId="1"/>
  </si>
  <si>
    <t>焼却・発電設備</t>
    <rPh sb="3" eb="5">
      <t>ハツデン</t>
    </rPh>
    <phoneticPr fontId="1"/>
  </si>
  <si>
    <t>Y=補助燃料(kL/年)×原単位(補助燃料、kg-CO2/L)</t>
    <rPh sb="2" eb="4">
      <t>ホジョ</t>
    </rPh>
    <rPh sb="4" eb="6">
      <t>ネンリョウ</t>
    </rPh>
    <rPh sb="10" eb="11">
      <t>ネン</t>
    </rPh>
    <phoneticPr fontId="1"/>
  </si>
  <si>
    <t>Y=814(24%苛性ソーダ使用量、t/年)/100(ベース脱水汚泥焼却量(wet-t/日))×Xw×原単位(苛性ソーダ、kg-CO2/kg)×0.24</t>
    <rPh sb="9" eb="11">
      <t>カセイ</t>
    </rPh>
    <rPh sb="14" eb="16">
      <t>シヨウ</t>
    </rPh>
    <rPh sb="16" eb="17">
      <t>リョウ</t>
    </rPh>
    <rPh sb="20" eb="21">
      <t>ネン</t>
    </rPh>
    <rPh sb="51" eb="54">
      <t>ゲンタンイ</t>
    </rPh>
    <phoneticPr fontId="1"/>
  </si>
  <si>
    <t>Y=苛性ソーダ使用値(24%、t/年)×原単位(苛性ソーダ、kg-CO2/kg)×0.24</t>
    <rPh sb="2" eb="4">
      <t>カセイ</t>
    </rPh>
    <rPh sb="7" eb="9">
      <t>シヨウ</t>
    </rPh>
    <rPh sb="9" eb="10">
      <t>アタイ</t>
    </rPh>
    <rPh sb="17" eb="18">
      <t>ネン</t>
    </rPh>
    <rPh sb="20" eb="23">
      <t>ゲンタンイ</t>
    </rPh>
    <phoneticPr fontId="1"/>
  </si>
  <si>
    <t>⑪</t>
    <phoneticPr fontId="1"/>
  </si>
  <si>
    <t>⑫、XD：汚泥中固形物量(t-DS/日)</t>
    <phoneticPr fontId="1"/>
  </si>
  <si>
    <t>⑬、XD：汚泥中固形物量(t-DS/日)</t>
    <phoneticPr fontId="1"/>
  </si>
  <si>
    <t>⑯</t>
    <phoneticPr fontId="1"/>
  </si>
  <si>
    <t>⑰：⑪+⑫+⑬+⑭+⑮+⑯</t>
    <phoneticPr fontId="1"/>
  </si>
  <si>
    <t>⑱、共用段階を80.2%とし19.3%で算出。</t>
    <rPh sb="2" eb="4">
      <t>キョウヨウ</t>
    </rPh>
    <rPh sb="4" eb="6">
      <t>ダンカイ</t>
    </rPh>
    <rPh sb="20" eb="22">
      <t>サンシュツ</t>
    </rPh>
    <phoneticPr fontId="1"/>
  </si>
  <si>
    <t>⑲、共用段階を80.2%とし0.5%で算出。</t>
    <rPh sb="2" eb="4">
      <t>キョウヨウ</t>
    </rPh>
    <rPh sb="4" eb="6">
      <t>ダンカイ</t>
    </rPh>
    <rPh sb="19" eb="21">
      <t>サンシュツ</t>
    </rPh>
    <phoneticPr fontId="1"/>
  </si>
  <si>
    <t>脱水汚泥焼却量：Xwb(t-wet/日)(自動入力)</t>
    <rPh sb="0" eb="2">
      <t>ダッスイ</t>
    </rPh>
    <rPh sb="2" eb="4">
      <t>オデイ</t>
    </rPh>
    <rPh sb="4" eb="6">
      <t>ショウキャク</t>
    </rPh>
    <rPh sb="6" eb="7">
      <t>リョウ</t>
    </rPh>
    <rPh sb="18" eb="19">
      <t>ニチ</t>
    </rPh>
    <phoneticPr fontId="1"/>
  </si>
  <si>
    <r>
      <t>Y=0.0001(t-N</t>
    </r>
    <r>
      <rPr>
        <vertAlign val="subscript"/>
        <sz val="11"/>
        <color theme="1"/>
        <rFont val="游ゴシック"/>
        <family val="3"/>
        <charset val="128"/>
        <scheme val="minor"/>
      </rPr>
      <t>2</t>
    </r>
    <r>
      <rPr>
        <sz val="11"/>
        <color theme="1"/>
        <rFont val="游ゴシック"/>
        <family val="2"/>
        <charset val="128"/>
        <scheme val="minor"/>
      </rPr>
      <t>O/wet-t)Xwb×稼働日数(日/年)×負荷率(%)</t>
    </r>
    <rPh sb="25" eb="27">
      <t>カドウ</t>
    </rPh>
    <rPh sb="27" eb="29">
      <t>ニッスウ</t>
    </rPh>
    <rPh sb="30" eb="31">
      <t>ヒ</t>
    </rPh>
    <rPh sb="32" eb="33">
      <t>ネン</t>
    </rPh>
    <rPh sb="35" eb="37">
      <t>フカ</t>
    </rPh>
    <rPh sb="37" eb="38">
      <t>リツ</t>
    </rPh>
    <phoneticPr fontId="1"/>
  </si>
  <si>
    <t>Xwb：脱水汚泥焼却量(wet-t/日)</t>
    <phoneticPr fontId="1"/>
  </si>
  <si>
    <t>合計(排出のみ）</t>
    <rPh sb="0" eb="2">
      <t>ゴウケイ</t>
    </rPh>
    <phoneticPr fontId="1"/>
  </si>
  <si>
    <t>⑳</t>
    <phoneticPr fontId="1"/>
  </si>
  <si>
    <t>㉑：⑰+⑱+⑲+⑳</t>
    <phoneticPr fontId="1"/>
  </si>
  <si>
    <t>焼却・発電設備</t>
    <phoneticPr fontId="1"/>
  </si>
  <si>
    <t>Y=-発電電力(MWh/年)×原単位(電気、kg-CO2/kWh)</t>
    <rPh sb="3" eb="5">
      <t>ハツデン</t>
    </rPh>
    <phoneticPr fontId="1"/>
  </si>
  <si>
    <t>合計(発電分含む）</t>
    <rPh sb="0" eb="2">
      <t>ゴウケイ</t>
    </rPh>
    <rPh sb="3" eb="5">
      <t>ハツデン</t>
    </rPh>
    <rPh sb="5" eb="6">
      <t>ブン</t>
    </rPh>
    <rPh sb="6" eb="7">
      <t>フク</t>
    </rPh>
    <phoneticPr fontId="1"/>
  </si>
  <si>
    <t>㉓：㉑+㉒</t>
    <phoneticPr fontId="1"/>
  </si>
  <si>
    <t>㉔：(1－㉓/⑩)×100</t>
    <phoneticPr fontId="1"/>
  </si>
  <si>
    <t>負荷率（設備規模に対する投入量の割合）</t>
    <rPh sb="0" eb="2">
      <t>フカ</t>
    </rPh>
    <rPh sb="2" eb="3">
      <t>リツ</t>
    </rPh>
    <rPh sb="4" eb="6">
      <t>セツビ</t>
    </rPh>
    <rPh sb="6" eb="8">
      <t>キボ</t>
    </rPh>
    <rPh sb="9" eb="10">
      <t>タイ</t>
    </rPh>
    <rPh sb="12" eb="14">
      <t>トウニュウ</t>
    </rPh>
    <rPh sb="14" eb="15">
      <t>リョウ</t>
    </rPh>
    <rPh sb="16" eb="18">
      <t>ワリアイ</t>
    </rPh>
    <phoneticPr fontId="1"/>
  </si>
  <si>
    <r>
      <t>Y=(1.12Xw＋266)×稼働日数(日/年)×24(h/日)×
負荷率(％)×10</t>
    </r>
    <r>
      <rPr>
        <vertAlign val="superscript"/>
        <sz val="11"/>
        <rFont val="游ゴシック"/>
        <family val="3"/>
        <charset val="128"/>
        <scheme val="minor"/>
      </rPr>
      <t>-3</t>
    </r>
    <rPh sb="15" eb="17">
      <t>カドウ</t>
    </rPh>
    <rPh sb="17" eb="19">
      <t>ニッスウ</t>
    </rPh>
    <rPh sb="20" eb="21">
      <t>ヒ</t>
    </rPh>
    <rPh sb="22" eb="23">
      <t>ネン</t>
    </rPh>
    <rPh sb="30" eb="31">
      <t>ヒ</t>
    </rPh>
    <phoneticPr fontId="1"/>
  </si>
  <si>
    <t>②、Xw：脱水汚泥焼却量(wet-t/日)</t>
    <phoneticPr fontId="1"/>
  </si>
  <si>
    <t>※ガイドラインでは3ケースの処理規模で試算した建設費とユーティリティー消費量を掲載するとともに、その値から求めた近似式を費用関数として設定しています。
　本ツールでは費用関数を利用して算出しているため、ガイドラインに掲載した値とは若干の差異が生じる場合があります。</t>
    <rPh sb="14" eb="16">
      <t>ショリ</t>
    </rPh>
    <rPh sb="16" eb="18">
      <t>キボ</t>
    </rPh>
    <rPh sb="19" eb="21">
      <t>シサン</t>
    </rPh>
    <rPh sb="23" eb="26">
      <t>ケンセツヒ</t>
    </rPh>
    <rPh sb="35" eb="38">
      <t>ショウヒリョウ</t>
    </rPh>
    <rPh sb="39" eb="41">
      <t>ケイサイ</t>
    </rPh>
    <rPh sb="50" eb="51">
      <t>アタイ</t>
    </rPh>
    <rPh sb="53" eb="54">
      <t>モト</t>
    </rPh>
    <rPh sb="56" eb="59">
      <t>キンジシキ</t>
    </rPh>
    <rPh sb="60" eb="62">
      <t>ヒヨウ</t>
    </rPh>
    <rPh sb="62" eb="64">
      <t>カンスウ</t>
    </rPh>
    <rPh sb="67" eb="69">
      <t>セッテイ</t>
    </rPh>
    <rPh sb="77" eb="78">
      <t>ホン</t>
    </rPh>
    <rPh sb="83" eb="85">
      <t>ヒヨウ</t>
    </rPh>
    <rPh sb="85" eb="87">
      <t>カンスウ</t>
    </rPh>
    <rPh sb="88" eb="90">
      <t>リヨウ</t>
    </rPh>
    <rPh sb="92" eb="94">
      <t>サンシュツ</t>
    </rPh>
    <rPh sb="108" eb="110">
      <t>ケイサイ</t>
    </rPh>
    <rPh sb="112" eb="113">
      <t>アタイ</t>
    </rPh>
    <rPh sb="115" eb="117">
      <t>ジャッカン</t>
    </rPh>
    <rPh sb="118" eb="120">
      <t>サイ</t>
    </rPh>
    <rPh sb="121" eb="122">
      <t>ショウ</t>
    </rPh>
    <rPh sb="124" eb="12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</si>
</sst>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8" formatCode="0.0%"/>
    <numFmt numFmtId="179" formatCode="#,##0_ "/>
    <numFmt numFmtId="180" formatCode="0.0_ "/>
    <numFmt numFmtId="183" formatCode="0_);[Red]\(0\)"/>
    <numFmt numFmtId="184" formatCode="0.0_);[Red]\(0.0\)"/>
    <numFmt numFmtId="185" formatCode="0_ "/>
    <numFmt numFmtId="186" formatCode="#,##0_);[Red]\(#,##0\)"/>
    <numFmt numFmtId="187" formatCode="0.000_ "/>
  </numFmts>
  <fonts count="21" x14ac:knownFonts="1">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sz val="11"/>
      <color theme="1"/>
      <name val="游ゴシック"/>
      <family val="3"/>
      <charset val="128"/>
      <scheme val="minor"/>
    </font>
    <font>
      <vertAlign val="subscript"/>
      <sz val="11"/>
      <color theme="1"/>
      <name val="游ゴシック"/>
      <family val="3"/>
      <charset val="128"/>
      <scheme val="minor"/>
    </font>
    <font>
      <sz val="20"/>
      <color theme="1"/>
      <name val="游ゴシック"/>
      <family val="2"/>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vertAlign val="superscript"/>
      <sz val="11"/>
      <name val="游ゴシック"/>
      <family val="3"/>
      <charset val="128"/>
      <scheme val="minor"/>
    </font>
    <font>
      <sz val="18"/>
      <color theme="1"/>
      <name val="游ゴシック"/>
      <family val="2"/>
      <charset val="128"/>
      <scheme val="minor"/>
    </font>
    <font>
      <sz val="18"/>
      <color theme="1"/>
      <name val="游ゴシック"/>
      <family val="3"/>
      <charset val="128"/>
      <scheme val="minor"/>
    </font>
    <font>
      <vertAlign val="subscript"/>
      <sz val="11"/>
      <name val="游ゴシック"/>
      <family val="3"/>
      <charset val="128"/>
      <scheme val="minor"/>
    </font>
    <font>
      <sz val="18"/>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D4F9FE"/>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320">
    <xf numFmtId="0" fontId="0" fillId="0" borderId="0" xfId="0">
      <alignment vertical="center"/>
    </xf>
    <xf numFmtId="0" fontId="0" fillId="0" borderId="0" xfId="0" applyAlignment="1">
      <alignment horizontal="left" vertical="center"/>
    </xf>
    <xf numFmtId="179" fontId="0" fillId="0" borderId="5" xfId="0" applyNumberFormat="1" applyBorder="1" applyAlignment="1">
      <alignment horizontal="center" vertical="center"/>
    </xf>
    <xf numFmtId="176" fontId="0" fillId="0" borderId="0" xfId="0" applyNumberFormat="1" applyAlignment="1">
      <alignment horizontal="center" vertical="center"/>
    </xf>
    <xf numFmtId="0" fontId="0" fillId="0" borderId="0" xfId="0" applyFill="1" applyBorder="1" applyAlignment="1">
      <alignment horizontal="center" vertical="center"/>
    </xf>
    <xf numFmtId="179" fontId="0" fillId="0" borderId="0" xfId="0" applyNumberFormat="1" applyAlignment="1">
      <alignment horizontal="center" vertical="center"/>
    </xf>
    <xf numFmtId="178" fontId="0" fillId="0" borderId="0" xfId="0" applyNumberFormat="1" applyAlignment="1">
      <alignment horizontal="left" vertical="center"/>
    </xf>
    <xf numFmtId="180" fontId="0" fillId="0" borderId="0" xfId="0" applyNumberForma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0" borderId="1" xfId="0" applyFill="1"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176" fontId="0" fillId="0" borderId="1" xfId="0" applyNumberFormat="1" applyBorder="1" applyAlignment="1">
      <alignment vertical="center"/>
    </xf>
    <xf numFmtId="179"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8" fillId="0" borderId="2" xfId="0" applyFont="1" applyBorder="1" applyAlignment="1">
      <alignment horizontal="center" vertical="center"/>
    </xf>
    <xf numFmtId="179" fontId="8" fillId="0" borderId="5" xfId="0" applyNumberFormat="1" applyFont="1" applyBorder="1" applyAlignment="1">
      <alignment horizontal="center" vertical="center"/>
    </xf>
    <xf numFmtId="0" fontId="8" fillId="0" borderId="1" xfId="0" applyFont="1" applyBorder="1" applyAlignment="1">
      <alignment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0" fontId="7" fillId="0" borderId="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Fill="1" applyBorder="1" applyAlignment="1">
      <alignment horizontal="center" vertical="center"/>
    </xf>
    <xf numFmtId="0" fontId="5" fillId="0" borderId="0" xfId="0" applyFont="1" applyBorder="1" applyAlignment="1">
      <alignment horizontal="left" vertical="center"/>
    </xf>
    <xf numFmtId="176" fontId="0" fillId="0" borderId="0" xfId="0" applyNumberFormat="1" applyBorder="1" applyAlignment="1">
      <alignment horizontal="center" vertical="center"/>
    </xf>
    <xf numFmtId="180"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3" borderId="1" xfId="0" applyFill="1" applyBorder="1" applyAlignment="1">
      <alignment horizontal="center" vertical="center"/>
    </xf>
    <xf numFmtId="0" fontId="8" fillId="0" borderId="0"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178" fontId="8" fillId="0" borderId="5" xfId="0" applyNumberFormat="1" applyFont="1" applyBorder="1" applyAlignment="1">
      <alignment horizontal="center" vertical="center"/>
    </xf>
    <xf numFmtId="179" fontId="8" fillId="0" borderId="1" xfId="0" applyNumberFormat="1" applyFont="1" applyBorder="1" applyAlignment="1">
      <alignment vertical="center"/>
    </xf>
    <xf numFmtId="178" fontId="8" fillId="0" borderId="1" xfId="0" applyNumberFormat="1" applyFont="1" applyBorder="1" applyAlignment="1">
      <alignment vertical="center"/>
    </xf>
    <xf numFmtId="179" fontId="0" fillId="0" borderId="1" xfId="0" applyNumberForma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9" fontId="0" fillId="0" borderId="2" xfId="0" applyNumberForma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3" xfId="0" applyBorder="1" applyAlignment="1">
      <alignment horizontal="left" vertical="center" wrapText="1"/>
    </xf>
    <xf numFmtId="0" fontId="0" fillId="0" borderId="2" xfId="0" applyFill="1" applyBorder="1" applyAlignment="1">
      <alignment horizontal="left" vertical="center"/>
    </xf>
    <xf numFmtId="0" fontId="0" fillId="0" borderId="6" xfId="0" applyBorder="1" applyAlignment="1">
      <alignment horizontal="center" vertical="center"/>
    </xf>
    <xf numFmtId="0" fontId="0" fillId="0" borderId="2" xfId="0" applyBorder="1" applyAlignment="1">
      <alignment horizontal="left" vertical="center"/>
    </xf>
    <xf numFmtId="0" fontId="8" fillId="0" borderId="4" xfId="0" applyFont="1" applyBorder="1" applyAlignment="1">
      <alignment horizontal="left" vertical="center" wrapText="1"/>
    </xf>
    <xf numFmtId="0" fontId="0" fillId="0" borderId="0"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0" fillId="0" borderId="12" xfId="0" applyBorder="1" applyAlignment="1">
      <alignment horizontal="left" vertical="center"/>
    </xf>
    <xf numFmtId="9" fontId="0" fillId="3" borderId="1" xfId="0" applyNumberFormat="1" applyFill="1" applyBorder="1" applyAlignment="1">
      <alignment horizontal="center" vertical="center"/>
    </xf>
    <xf numFmtId="179" fontId="0" fillId="0" borderId="13" xfId="0" applyNumberFormat="1" applyFill="1" applyBorder="1" applyAlignment="1">
      <alignment horizontal="center" vertical="center"/>
    </xf>
    <xf numFmtId="176" fontId="0" fillId="0" borderId="1" xfId="0" applyNumberFormat="1" applyFill="1" applyBorder="1" applyAlignment="1">
      <alignment horizontal="center" vertical="center"/>
    </xf>
    <xf numFmtId="179" fontId="0" fillId="0" borderId="7" xfId="0" applyNumberFormat="1" applyFill="1" applyBorder="1" applyAlignment="1">
      <alignment horizontal="center" vertical="center"/>
    </xf>
    <xf numFmtId="0" fontId="0" fillId="0" borderId="5" xfId="0" applyBorder="1" applyAlignment="1">
      <alignment horizontal="left" vertical="center"/>
    </xf>
    <xf numFmtId="0" fontId="8" fillId="0" borderId="0" xfId="0" applyFont="1" applyBorder="1" applyAlignment="1">
      <alignment horizontal="center" vertical="center"/>
    </xf>
    <xf numFmtId="0" fontId="0" fillId="0" borderId="6" xfId="0" applyBorder="1" applyAlignment="1">
      <alignment horizontal="left" vertical="center"/>
    </xf>
    <xf numFmtId="0" fontId="0" fillId="0" borderId="1" xfId="0" applyBorder="1" applyAlignment="1">
      <alignment vertical="center" wrapText="1"/>
    </xf>
    <xf numFmtId="9" fontId="0" fillId="0" borderId="0" xfId="0" applyNumberFormat="1" applyFill="1" applyBorder="1" applyAlignment="1">
      <alignment horizontal="center" vertical="center"/>
    </xf>
    <xf numFmtId="0" fontId="0" fillId="3"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179" fontId="8" fillId="3" borderId="1" xfId="0" applyNumberFormat="1" applyFont="1" applyFill="1" applyBorder="1" applyAlignment="1">
      <alignment horizontal="center" vertical="center"/>
    </xf>
    <xf numFmtId="178" fontId="0" fillId="0" borderId="1" xfId="0" applyNumberFormat="1" applyFill="1" applyBorder="1" applyAlignment="1">
      <alignment horizontal="center" vertical="center"/>
    </xf>
    <xf numFmtId="179" fontId="0" fillId="0" borderId="3" xfId="0" applyNumberFormat="1" applyBorder="1" applyAlignment="1">
      <alignment horizontal="center" vertical="center"/>
    </xf>
    <xf numFmtId="179" fontId="0" fillId="0" borderId="2" xfId="0" applyNumberForma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wrapText="1"/>
    </xf>
    <xf numFmtId="0" fontId="0" fillId="0" borderId="0" xfId="0" applyFill="1" applyBorder="1" applyAlignment="1">
      <alignment horizontal="center" vertical="center"/>
    </xf>
    <xf numFmtId="183" fontId="0" fillId="0" borderId="1" xfId="0" applyNumberFormat="1" applyBorder="1" applyAlignment="1">
      <alignment horizontal="center" vertical="center"/>
    </xf>
    <xf numFmtId="0" fontId="0" fillId="0" borderId="0" xfId="0" applyBorder="1" applyAlignment="1">
      <alignment horizontal="center" vertical="center" shrinkToFit="1"/>
    </xf>
    <xf numFmtId="0" fontId="0" fillId="0" borderId="5" xfId="0" applyBorder="1" applyAlignment="1">
      <alignment horizontal="center" vertical="center"/>
    </xf>
    <xf numFmtId="0" fontId="0" fillId="0" borderId="0" xfId="0" applyAlignment="1">
      <alignment horizontal="center" vertical="center"/>
    </xf>
    <xf numFmtId="183" fontId="0" fillId="3" borderId="1" xfId="0" applyNumberFormat="1" applyFill="1" applyBorder="1" applyAlignment="1">
      <alignment horizontal="center" vertical="center"/>
    </xf>
    <xf numFmtId="183" fontId="8" fillId="3" borderId="1" xfId="0" applyNumberFormat="1" applyFont="1" applyFill="1" applyBorder="1" applyAlignment="1">
      <alignment horizontal="center" vertical="center"/>
    </xf>
    <xf numFmtId="183" fontId="7" fillId="0" borderId="1" xfId="0" applyNumberFormat="1" applyFont="1" applyBorder="1" applyAlignment="1">
      <alignment horizontal="center" vertical="center"/>
    </xf>
    <xf numFmtId="183" fontId="7" fillId="0" borderId="2" xfId="0" applyNumberFormat="1" applyFont="1" applyBorder="1" applyAlignment="1">
      <alignment horizontal="center" vertical="center"/>
    </xf>
    <xf numFmtId="183" fontId="8" fillId="0" borderId="4" xfId="0" applyNumberFormat="1" applyFont="1" applyBorder="1" applyAlignment="1">
      <alignment horizontal="center" vertical="center"/>
    </xf>
    <xf numFmtId="183" fontId="0" fillId="0" borderId="0" xfId="0" applyNumberFormat="1" applyAlignment="1">
      <alignment horizontal="center" vertical="center"/>
    </xf>
    <xf numFmtId="0" fontId="7" fillId="0" borderId="1" xfId="0" applyFont="1" applyBorder="1" applyAlignment="1">
      <alignment horizontal="center" vertical="center" shrinkToFit="1"/>
    </xf>
    <xf numFmtId="184" fontId="0" fillId="0" borderId="4" xfId="0" applyNumberFormat="1" applyBorder="1" applyAlignment="1">
      <alignment horizontal="center" vertical="center"/>
    </xf>
    <xf numFmtId="9" fontId="8" fillId="3" borderId="1" xfId="0" applyNumberFormat="1"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0"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8" fillId="0" borderId="6"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center" vertical="center"/>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horizontal="center"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0" xfId="0" applyBorder="1" applyAlignment="1">
      <alignment horizontal="center" vertical="center" wrapText="1"/>
    </xf>
    <xf numFmtId="179" fontId="0" fillId="0" borderId="5" xfId="0" applyNumberFormat="1" applyBorder="1" applyAlignment="1">
      <alignment horizontal="center" vertical="center"/>
    </xf>
    <xf numFmtId="0" fontId="0" fillId="0" borderId="4" xfId="0" applyBorder="1" applyAlignment="1">
      <alignment vertical="center" wrapText="1"/>
    </xf>
    <xf numFmtId="0" fontId="3" fillId="0" borderId="10" xfId="0" applyFont="1" applyBorder="1" applyAlignment="1">
      <alignment horizontal="center" vertical="center"/>
    </xf>
    <xf numFmtId="0" fontId="0" fillId="0" borderId="2" xfId="0" applyFill="1" applyBorder="1" applyAlignment="1">
      <alignment horizontal="center" vertical="center"/>
    </xf>
    <xf numFmtId="178" fontId="0" fillId="0" borderId="1" xfId="0" applyNumberFormat="1" applyBorder="1" applyAlignment="1">
      <alignment horizontal="center" vertical="center"/>
    </xf>
    <xf numFmtId="178" fontId="0" fillId="0" borderId="5" xfId="0" applyNumberForma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horizontal="center" vertical="center"/>
    </xf>
    <xf numFmtId="0" fontId="8" fillId="0" borderId="5" xfId="0" applyFont="1" applyBorder="1" applyAlignment="1">
      <alignment horizontal="left" vertical="center"/>
    </xf>
    <xf numFmtId="0" fontId="8" fillId="0" borderId="3" xfId="0" applyFont="1" applyBorder="1" applyAlignment="1">
      <alignment vertical="center"/>
    </xf>
    <xf numFmtId="179" fontId="0" fillId="0" borderId="15" xfId="0" applyNumberFormat="1" applyBorder="1" applyAlignment="1">
      <alignment horizontal="center" vertical="center"/>
    </xf>
    <xf numFmtId="0" fontId="8" fillId="0" borderId="14" xfId="0" applyFont="1" applyBorder="1" applyAlignment="1">
      <alignment horizontal="left" vertical="center"/>
    </xf>
    <xf numFmtId="179" fontId="0" fillId="0" borderId="12" xfId="0" applyNumberFormat="1" applyBorder="1" applyAlignment="1">
      <alignment horizontal="center" vertical="center"/>
    </xf>
    <xf numFmtId="0" fontId="0" fillId="0" borderId="3" xfId="0" applyBorder="1" applyAlignment="1">
      <alignment vertical="center" wrapText="1"/>
    </xf>
    <xf numFmtId="0" fontId="0" fillId="0" borderId="2" xfId="0" applyBorder="1" applyAlignment="1">
      <alignment horizontal="center" vertical="center" shrinkToFit="1"/>
    </xf>
    <xf numFmtId="0" fontId="8" fillId="0" borderId="4" xfId="0" applyFont="1" applyBorder="1" applyAlignment="1">
      <alignment vertical="center" wrapText="1"/>
    </xf>
    <xf numFmtId="184"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3" xfId="0" quotePrefix="1" applyFont="1" applyBorder="1" applyAlignment="1">
      <alignment vertical="center" wrapText="1"/>
    </xf>
    <xf numFmtId="0" fontId="8" fillId="0" borderId="4" xfId="0" quotePrefix="1" applyFont="1" applyBorder="1" applyAlignment="1">
      <alignment vertical="center" wrapText="1"/>
    </xf>
    <xf numFmtId="9" fontId="8" fillId="4" borderId="5" xfId="0" applyNumberFormat="1" applyFont="1" applyFill="1" applyBorder="1" applyAlignment="1">
      <alignment horizontal="center" vertical="center"/>
    </xf>
    <xf numFmtId="0" fontId="0" fillId="0" borderId="9" xfId="0" applyBorder="1" applyAlignment="1">
      <alignment horizontal="center" vertical="center" shrinkToFit="1"/>
    </xf>
    <xf numFmtId="0" fontId="0" fillId="0" borderId="9" xfId="0"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179" fontId="8" fillId="0" borderId="15" xfId="0" applyNumberFormat="1" applyFont="1" applyBorder="1" applyAlignment="1">
      <alignment horizontal="center" vertical="center"/>
    </xf>
    <xf numFmtId="0" fontId="0" fillId="0" borderId="12" xfId="0" applyBorder="1" applyAlignment="1">
      <alignment horizontal="left" vertical="center" wrapText="1"/>
    </xf>
    <xf numFmtId="179" fontId="8" fillId="0" borderId="14" xfId="0" applyNumberFormat="1" applyFont="1" applyBorder="1" applyAlignment="1">
      <alignment horizontal="center" vertical="center"/>
    </xf>
    <xf numFmtId="0" fontId="3" fillId="0" borderId="10" xfId="0" applyFont="1" applyBorder="1" applyAlignment="1">
      <alignment horizontal="left" vertical="center"/>
    </xf>
    <xf numFmtId="185" fontId="0" fillId="0" borderId="0" xfId="0" applyNumberFormat="1" applyAlignment="1">
      <alignment horizontal="center" vertical="center"/>
    </xf>
    <xf numFmtId="0" fontId="0" fillId="0" borderId="0" xfId="0" applyBorder="1" applyAlignment="1">
      <alignment horizontal="right" vertical="center"/>
    </xf>
    <xf numFmtId="0" fontId="7" fillId="0" borderId="0" xfId="0" applyFont="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186" fontId="8" fillId="0" borderId="2" xfId="0" applyNumberFormat="1"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8" fillId="0" borderId="2" xfId="0" applyFont="1" applyBorder="1" applyAlignment="1">
      <alignment horizontal="left" vertical="center"/>
    </xf>
    <xf numFmtId="0" fontId="8" fillId="0" borderId="14" xfId="0" applyFont="1" applyBorder="1" applyAlignment="1">
      <alignment horizontal="center" vertical="center"/>
    </xf>
    <xf numFmtId="0" fontId="8" fillId="0" borderId="8" xfId="0" applyFont="1"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8" fillId="0" borderId="4"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0" fillId="2" borderId="5" xfId="0" applyFont="1" applyFill="1" applyBorder="1" applyAlignment="1">
      <alignment horizontal="center" vertical="center"/>
    </xf>
    <xf numFmtId="0" fontId="11" fillId="0" borderId="13" xfId="0" applyFont="1" applyBorder="1" applyAlignment="1">
      <alignment vertical="center"/>
    </xf>
    <xf numFmtId="0" fontId="11" fillId="0" borderId="6" xfId="0" applyFont="1" applyBorder="1" applyAlignment="1">
      <alignment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183" fontId="7" fillId="0" borderId="2" xfId="0" applyNumberFormat="1" applyFont="1" applyBorder="1" applyAlignment="1">
      <alignment horizontal="center" vertical="center"/>
    </xf>
    <xf numFmtId="183" fontId="0" fillId="0" borderId="4" xfId="0" applyNumberFormat="1" applyBorder="1" applyAlignment="1">
      <alignment horizontal="center" vertical="center"/>
    </xf>
    <xf numFmtId="0" fontId="14" fillId="0" borderId="7" xfId="0" applyFont="1" applyBorder="1" applyAlignment="1">
      <alignment horizontal="left" vertical="center" wrapText="1" shrinkToFit="1"/>
    </xf>
    <xf numFmtId="0" fontId="15" fillId="0" borderId="7" xfId="0" applyFont="1" applyBorder="1" applyAlignment="1">
      <alignment vertical="center" wrapText="1" shrinkToFit="1"/>
    </xf>
    <xf numFmtId="0" fontId="15" fillId="0" borderId="0" xfId="0" applyFont="1" applyAlignment="1">
      <alignment vertical="center" wrapText="1"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5" xfId="0"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3" fillId="0" borderId="14" xfId="0" applyFont="1" applyBorder="1" applyAlignment="1">
      <alignment horizontal="center" vertical="center" wrapText="1"/>
    </xf>
    <xf numFmtId="0" fontId="0" fillId="0" borderId="8" xfId="0" applyBorder="1" applyAlignment="1">
      <alignment horizontal="center" vertical="center" wrapText="1"/>
    </xf>
    <xf numFmtId="0" fontId="3"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179" fontId="0" fillId="0" borderId="2" xfId="0" applyNumberFormat="1" applyBorder="1" applyAlignment="1">
      <alignment horizontal="center" vertical="center"/>
    </xf>
    <xf numFmtId="179" fontId="0" fillId="0" borderId="3" xfId="0" applyNumberForma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179" fontId="7" fillId="0" borderId="2" xfId="0" applyNumberFormat="1" applyFont="1" applyBorder="1" applyAlignment="1">
      <alignment horizontal="center" vertical="center"/>
    </xf>
    <xf numFmtId="179" fontId="7" fillId="0" borderId="4" xfId="0" applyNumberFormat="1" applyFont="1" applyBorder="1" applyAlignment="1">
      <alignment horizontal="center" vertical="center"/>
    </xf>
    <xf numFmtId="0" fontId="0" fillId="0" borderId="4" xfId="0" applyBorder="1" applyAlignment="1">
      <alignment horizontal="left" vertical="center" wrapText="1"/>
    </xf>
    <xf numFmtId="179" fontId="0" fillId="0" borderId="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3" xfId="0" applyBorder="1" applyAlignment="1">
      <alignment horizontal="left" vertical="center" wrapText="1"/>
    </xf>
    <xf numFmtId="0" fontId="5" fillId="0" borderId="0" xfId="0" applyFont="1" applyAlignment="1">
      <alignment horizontal="left" vertical="center"/>
    </xf>
    <xf numFmtId="0" fontId="0" fillId="0" borderId="0" xfId="0" applyAlignment="1">
      <alignment vertical="center"/>
    </xf>
    <xf numFmtId="0" fontId="0" fillId="0" borderId="9" xfId="0" applyBorder="1"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8" fillId="0" borderId="3" xfId="0" applyFont="1" applyBorder="1" applyAlignment="1">
      <alignment horizontal="left" vertical="center"/>
    </xf>
    <xf numFmtId="176" fontId="8" fillId="0" borderId="2"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1" xfId="0" applyBorder="1" applyAlignment="1">
      <alignment horizontal="left" vertical="center"/>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left" vertical="center" shrinkToFit="1"/>
    </xf>
    <xf numFmtId="0" fontId="0" fillId="0" borderId="13"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3" fillId="0" borderId="11" xfId="0" applyFont="1" applyBorder="1" applyAlignment="1">
      <alignment horizontal="center"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center" vertical="center"/>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4" xfId="0" applyFont="1" applyBorder="1" applyAlignment="1">
      <alignment horizontal="center" vertical="center"/>
    </xf>
    <xf numFmtId="0" fontId="3" fillId="0" borderId="8" xfId="0" applyFont="1" applyBorder="1" applyAlignment="1">
      <alignment horizontal="center" vertical="center"/>
    </xf>
    <xf numFmtId="0" fontId="11" fillId="2" borderId="1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6"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1" fillId="2" borderId="6" xfId="0" applyFont="1"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vertical="center"/>
    </xf>
    <xf numFmtId="0" fontId="7" fillId="0" borderId="2" xfId="0" applyFont="1" applyBorder="1" applyAlignment="1">
      <alignment horizontal="left" vertical="center"/>
    </xf>
    <xf numFmtId="186" fontId="0" fillId="0" borderId="2" xfId="0" applyNumberFormat="1" applyBorder="1" applyAlignment="1">
      <alignment horizontal="center" vertical="center"/>
    </xf>
    <xf numFmtId="186" fontId="0" fillId="0" borderId="4" xfId="0" applyNumberFormat="1" applyBorder="1" applyAlignment="1">
      <alignment horizontal="center" vertical="center"/>
    </xf>
    <xf numFmtId="179" fontId="8" fillId="0" borderId="2" xfId="0" applyNumberFormat="1" applyFont="1" applyBorder="1" applyAlignment="1">
      <alignment horizontal="center" vertical="center"/>
    </xf>
    <xf numFmtId="0" fontId="8" fillId="0" borderId="5" xfId="0" applyFont="1" applyFill="1" applyBorder="1" applyAlignment="1">
      <alignment horizontal="center" vertical="center" shrinkToFit="1"/>
    </xf>
    <xf numFmtId="0" fontId="0" fillId="0" borderId="6" xfId="0"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187" fontId="0" fillId="0" borderId="4" xfId="0" applyNumberFormat="1" applyFill="1" applyBorder="1" applyAlignment="1">
      <alignment horizontal="center" vertical="center"/>
    </xf>
    <xf numFmtId="187" fontId="0" fillId="0" borderId="1" xfId="0" applyNumberFormat="1" applyFill="1" applyBorder="1" applyAlignment="1">
      <alignment horizontal="center" vertical="center"/>
    </xf>
    <xf numFmtId="0" fontId="0" fillId="0" borderId="14" xfId="0" applyBorder="1" applyAlignment="1">
      <alignment horizontal="center" vertical="center" shrinkToFit="1"/>
    </xf>
    <xf numFmtId="0" fontId="0" fillId="0" borderId="8" xfId="0" applyBorder="1" applyAlignment="1">
      <alignment horizontal="center" vertical="center" shrinkToFit="1"/>
    </xf>
    <xf numFmtId="0" fontId="19" fillId="0" borderId="0" xfId="0" applyFont="1" applyBorder="1" applyAlignment="1">
      <alignment horizontal="left" vertical="center" wrapText="1"/>
    </xf>
    <xf numFmtId="0" fontId="20" fillId="0" borderId="0" xfId="0" applyFont="1" applyBorder="1" applyAlignment="1">
      <alignment vertical="center" wrapText="1"/>
    </xf>
    <xf numFmtId="0" fontId="0"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D4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2057400</xdr:colOff>
      <xdr:row>15</xdr:row>
      <xdr:rowOff>152400</xdr:rowOff>
    </xdr:from>
    <xdr:ext cx="184731" cy="264560"/>
    <xdr:sp macro="" textlink="">
      <xdr:nvSpPr>
        <xdr:cNvPr id="2" name="テキスト ボックス 1"/>
        <xdr:cNvSpPr txBox="1"/>
      </xdr:nvSpPr>
      <xdr:spPr>
        <a:xfrm>
          <a:off x="8353425"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884705</xdr:colOff>
      <xdr:row>0</xdr:row>
      <xdr:rowOff>64433</xdr:rowOff>
    </xdr:from>
    <xdr:to>
      <xdr:col>3</xdr:col>
      <xdr:colOff>1898838</xdr:colOff>
      <xdr:row>0</xdr:row>
      <xdr:rowOff>336176</xdr:rowOff>
    </xdr:to>
    <xdr:grpSp>
      <xdr:nvGrpSpPr>
        <xdr:cNvPr id="3" name="グループ化 2"/>
        <xdr:cNvGrpSpPr/>
      </xdr:nvGrpSpPr>
      <xdr:grpSpPr>
        <a:xfrm>
          <a:off x="1846730" y="64433"/>
          <a:ext cx="2995333" cy="271743"/>
          <a:chOff x="2763371" y="120093"/>
          <a:chExt cx="3075454" cy="276225"/>
        </a:xfrm>
      </xdr:grpSpPr>
      <xdr:sp macro="" textlink="">
        <xdr:nvSpPr>
          <xdr:cNvPr id="4" name="正方形/長方形 3"/>
          <xdr:cNvSpPr/>
        </xdr:nvSpPr>
        <xdr:spPr>
          <a:xfrm>
            <a:off x="2763371" y="184336"/>
            <a:ext cx="493059" cy="156882"/>
          </a:xfrm>
          <a:prstGeom prst="rect">
            <a:avLst/>
          </a:prstGeom>
          <a:solidFill>
            <a:srgbClr val="D4F9FE"/>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8" name="Text Box 4"/>
          <xdr:cNvSpPr txBox="1">
            <a:spLocks noChangeArrowheads="1"/>
          </xdr:cNvSpPr>
        </xdr:nvSpPr>
        <xdr:spPr bwMode="auto">
          <a:xfrm>
            <a:off x="3305175" y="120093"/>
            <a:ext cx="2533650"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100" b="0" i="0" u="none" strike="noStrike" baseline="0">
                <a:solidFill>
                  <a:srgbClr val="000000"/>
                </a:solidFill>
                <a:latin typeface="游ゴシック"/>
                <a:ea typeface="游ゴシック"/>
              </a:rPr>
              <a:t>：手入力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4"/>
  <sheetViews>
    <sheetView showGridLines="0" tabSelected="1" view="pageBreakPreview" zoomScaleNormal="85" zoomScaleSheetLayoutView="100" workbookViewId="0">
      <selection activeCell="D130" sqref="D130:D131"/>
    </sheetView>
  </sheetViews>
  <sheetFormatPr defaultRowHeight="18.75" x14ac:dyDescent="0.4"/>
  <cols>
    <col min="1" max="1" width="1.625" style="8" customWidth="1"/>
    <col min="2" max="2" width="11" style="8" customWidth="1"/>
    <col min="3" max="3" width="26" style="8" customWidth="1"/>
    <col min="4" max="4" width="34.625" style="8" customWidth="1"/>
    <col min="5" max="5" width="12.375" style="8" customWidth="1"/>
    <col min="6" max="6" width="27.625" style="8" customWidth="1"/>
    <col min="7" max="7" width="24.625" style="21" customWidth="1"/>
    <col min="8" max="8" width="22.5" style="8" bestFit="1" customWidth="1"/>
    <col min="9" max="9" width="37.75" style="8" bestFit="1" customWidth="1"/>
    <col min="10" max="10" width="3.625" style="8" customWidth="1"/>
    <col min="11" max="11" width="13" style="26" bestFit="1" customWidth="1"/>
    <col min="12" max="12" width="12.25" style="26" bestFit="1" customWidth="1"/>
    <col min="13" max="14" width="1.625" style="26" customWidth="1"/>
    <col min="15" max="15" width="1.625" style="8" customWidth="1"/>
    <col min="16" max="17" width="19.25" style="8" hidden="1" customWidth="1"/>
    <col min="18" max="18" width="8.625" style="8" hidden="1" customWidth="1"/>
    <col min="19" max="19" width="21.375" style="8" hidden="1" customWidth="1"/>
    <col min="20" max="20" width="11.625" style="8" hidden="1" customWidth="1"/>
    <col min="21" max="16384" width="9" style="8"/>
  </cols>
  <sheetData>
    <row r="1" spans="2:21" s="21" customFormat="1" ht="33" x14ac:dyDescent="0.4">
      <c r="B1" s="17" t="s">
        <v>40</v>
      </c>
      <c r="D1" s="36"/>
      <c r="K1" s="26"/>
      <c r="L1" s="26"/>
      <c r="M1" s="26"/>
      <c r="N1" s="26"/>
    </row>
    <row r="2" spans="2:21" s="21" customFormat="1" ht="18.75" customHeight="1" x14ac:dyDescent="0.4">
      <c r="B2" s="21" t="s">
        <v>64</v>
      </c>
      <c r="G2" s="27"/>
      <c r="H2" s="89"/>
      <c r="I2" s="144"/>
      <c r="K2" s="26"/>
      <c r="L2" s="26"/>
      <c r="M2" s="26"/>
      <c r="N2" s="26"/>
    </row>
    <row r="3" spans="2:21" s="64" customFormat="1" ht="18.75" customHeight="1" x14ac:dyDescent="0.4">
      <c r="B3" s="261" t="s">
        <v>199</v>
      </c>
      <c r="C3" s="261"/>
      <c r="D3" s="47">
        <v>100</v>
      </c>
      <c r="F3" s="37" t="s">
        <v>81</v>
      </c>
      <c r="G3" s="93">
        <v>328.5</v>
      </c>
      <c r="H3" s="38"/>
      <c r="I3" s="144"/>
    </row>
    <row r="4" spans="2:21" s="64" customFormat="1" ht="18.75" customHeight="1" x14ac:dyDescent="0.4">
      <c r="B4" s="261" t="s">
        <v>82</v>
      </c>
      <c r="C4" s="261"/>
      <c r="D4" s="84">
        <v>0.76</v>
      </c>
      <c r="F4" s="37" t="s">
        <v>77</v>
      </c>
      <c r="G4" s="94">
        <f>G3/365</f>
        <v>0.9</v>
      </c>
      <c r="H4" s="38"/>
      <c r="I4" s="39"/>
    </row>
    <row r="5" spans="2:21" s="64" customFormat="1" ht="18.75" customHeight="1" x14ac:dyDescent="0.4">
      <c r="B5" s="267" t="s">
        <v>109</v>
      </c>
      <c r="C5" s="267"/>
      <c r="D5" s="86">
        <f>D3*(1-D4)</f>
        <v>24</v>
      </c>
      <c r="F5" s="120" t="s">
        <v>304</v>
      </c>
      <c r="G5" s="122">
        <v>0.9</v>
      </c>
      <c r="H5" s="38"/>
      <c r="I5" s="39"/>
    </row>
    <row r="6" spans="2:21" s="64" customFormat="1" ht="18.75" customHeight="1" x14ac:dyDescent="0.4">
      <c r="B6" s="261" t="s">
        <v>79</v>
      </c>
      <c r="C6" s="261"/>
      <c r="D6" s="84">
        <v>0.84</v>
      </c>
      <c r="F6" s="37" t="s">
        <v>49</v>
      </c>
      <c r="G6" s="114">
        <v>15</v>
      </c>
      <c r="H6" s="38"/>
      <c r="I6" s="39"/>
    </row>
    <row r="7" spans="2:21" s="21" customFormat="1" ht="18.75" customHeight="1" x14ac:dyDescent="0.4">
      <c r="B7" s="268" t="s">
        <v>65</v>
      </c>
      <c r="C7" s="268"/>
      <c r="D7" s="85" t="s">
        <v>63</v>
      </c>
      <c r="F7" s="102" t="s">
        <v>150</v>
      </c>
      <c r="G7" s="115">
        <v>500</v>
      </c>
      <c r="H7" s="38"/>
      <c r="I7" s="39"/>
      <c r="K7" s="26"/>
      <c r="L7" s="26"/>
      <c r="M7" s="26"/>
      <c r="N7" s="26"/>
      <c r="P7" s="49"/>
      <c r="Q7" s="200" t="s">
        <v>43</v>
      </c>
      <c r="R7" s="201"/>
      <c r="S7" s="200" t="s">
        <v>44</v>
      </c>
      <c r="T7" s="201"/>
    </row>
    <row r="8" spans="2:21" s="21" customFormat="1" ht="18.75" customHeight="1" x14ac:dyDescent="0.4">
      <c r="B8" s="267" t="s">
        <v>83</v>
      </c>
      <c r="C8" s="267"/>
      <c r="D8" s="96">
        <v>2.1000000000000001E-2</v>
      </c>
      <c r="F8" s="120" t="s">
        <v>156</v>
      </c>
      <c r="G8" s="115">
        <v>20</v>
      </c>
      <c r="H8" s="48"/>
      <c r="I8" s="48"/>
      <c r="K8" s="26"/>
      <c r="L8" s="26"/>
      <c r="M8" s="26"/>
      <c r="N8" s="26"/>
      <c r="P8" s="49" t="s">
        <v>41</v>
      </c>
      <c r="Q8" s="49">
        <v>44.8</v>
      </c>
      <c r="R8" s="49" t="s">
        <v>45</v>
      </c>
      <c r="S8" s="37">
        <v>2.23</v>
      </c>
      <c r="T8" s="37" t="s">
        <v>61</v>
      </c>
      <c r="U8" s="51"/>
    </row>
    <row r="9" spans="2:21" s="21" customFormat="1" ht="18.75" customHeight="1" x14ac:dyDescent="0.4">
      <c r="B9" s="261" t="s">
        <v>78</v>
      </c>
      <c r="C9" s="261"/>
      <c r="D9" s="86">
        <f>D5*(1+D8)</f>
        <v>24.503999999999998</v>
      </c>
      <c r="F9" s="37" t="s">
        <v>157</v>
      </c>
      <c r="G9" s="115">
        <v>96</v>
      </c>
      <c r="H9" s="41"/>
      <c r="I9" s="41"/>
      <c r="K9" s="26"/>
      <c r="L9" s="26"/>
      <c r="M9" s="26"/>
      <c r="N9" s="26"/>
      <c r="P9" s="49" t="s">
        <v>42</v>
      </c>
      <c r="Q9" s="49">
        <v>0</v>
      </c>
      <c r="R9" s="49" t="s">
        <v>46</v>
      </c>
      <c r="S9" s="40">
        <v>0</v>
      </c>
      <c r="T9" s="40" t="s">
        <v>62</v>
      </c>
    </row>
    <row r="10" spans="2:21" s="64" customFormat="1" ht="18.75" customHeight="1" x14ac:dyDescent="0.4">
      <c r="B10" s="261" t="s">
        <v>80</v>
      </c>
      <c r="C10" s="261"/>
      <c r="D10" s="96">
        <f>D5*D6/D9</f>
        <v>0.82272282076395697</v>
      </c>
      <c r="F10" s="120" t="s">
        <v>165</v>
      </c>
      <c r="G10" s="115">
        <v>18</v>
      </c>
      <c r="H10" s="41"/>
      <c r="I10" s="41"/>
      <c r="P10" s="63"/>
      <c r="Q10" s="63"/>
      <c r="R10" s="63"/>
      <c r="S10" s="40"/>
      <c r="T10" s="40"/>
    </row>
    <row r="11" spans="2:21" s="21" customFormat="1" ht="18.75" customHeight="1" x14ac:dyDescent="0.4">
      <c r="B11" s="261" t="s">
        <v>84</v>
      </c>
      <c r="C11" s="261"/>
      <c r="D11" s="94">
        <v>0.69</v>
      </c>
      <c r="F11" s="37" t="s">
        <v>86</v>
      </c>
      <c r="G11" s="95">
        <v>8000</v>
      </c>
      <c r="H11" s="26"/>
      <c r="I11" s="26"/>
    </row>
    <row r="12" spans="2:21" s="21" customFormat="1" ht="18.75" customHeight="1" x14ac:dyDescent="0.4">
      <c r="B12" s="269" t="s">
        <v>293</v>
      </c>
      <c r="C12" s="270"/>
      <c r="D12" s="86">
        <f>D9/(1-D11)</f>
        <v>79.045161290322554</v>
      </c>
      <c r="F12" s="144"/>
      <c r="G12" s="144"/>
      <c r="H12" s="26"/>
      <c r="I12" s="26"/>
    </row>
    <row r="13" spans="2:21" s="21" customFormat="1" ht="18.75" customHeight="1" x14ac:dyDescent="0.4">
      <c r="B13" s="68" t="s">
        <v>76</v>
      </c>
      <c r="C13" s="68"/>
      <c r="D13" s="87"/>
      <c r="H13" s="26"/>
      <c r="I13" s="26"/>
    </row>
    <row r="14" spans="2:21" s="64" customFormat="1" ht="18.75" customHeight="1" x14ac:dyDescent="0.4">
      <c r="B14" s="69"/>
      <c r="C14" s="69"/>
      <c r="D14" s="92"/>
    </row>
    <row r="15" spans="2:21" s="82" customFormat="1" ht="16.5" customHeight="1" x14ac:dyDescent="0.4">
      <c r="B15" s="247" t="s">
        <v>95</v>
      </c>
      <c r="C15" s="248"/>
      <c r="D15" s="185" t="s">
        <v>96</v>
      </c>
      <c r="O15" s="42"/>
      <c r="P15" s="27"/>
      <c r="Q15" s="27"/>
      <c r="R15" s="27"/>
    </row>
    <row r="16" spans="2:21" ht="16.5" customHeight="1" x14ac:dyDescent="0.4">
      <c r="B16" s="249"/>
      <c r="C16" s="249"/>
      <c r="D16" s="185" t="s">
        <v>97</v>
      </c>
      <c r="O16" s="42"/>
      <c r="P16" s="27"/>
      <c r="Q16" s="27"/>
      <c r="R16" s="27"/>
    </row>
    <row r="17" spans="2:18" x14ac:dyDescent="0.4">
      <c r="B17" s="10" t="s">
        <v>9</v>
      </c>
      <c r="C17" s="10" t="s">
        <v>11</v>
      </c>
      <c r="D17" s="10" t="s">
        <v>10</v>
      </c>
      <c r="E17" s="10" t="s">
        <v>13</v>
      </c>
      <c r="F17" s="200" t="s">
        <v>22</v>
      </c>
      <c r="G17" s="201"/>
      <c r="H17" s="10" t="s">
        <v>6</v>
      </c>
      <c r="I17" s="10" t="s">
        <v>8</v>
      </c>
      <c r="O17" s="27"/>
      <c r="P17" s="27"/>
      <c r="Q17" s="27"/>
      <c r="R17" s="27"/>
    </row>
    <row r="18" spans="2:18" s="64" customFormat="1" ht="56.25" x14ac:dyDescent="0.4">
      <c r="B18" s="189" t="s">
        <v>185</v>
      </c>
      <c r="C18" s="189" t="s">
        <v>66</v>
      </c>
      <c r="D18" s="65" t="s">
        <v>98</v>
      </c>
      <c r="E18" s="63" t="s">
        <v>67</v>
      </c>
      <c r="F18" s="200" t="s">
        <v>113</v>
      </c>
      <c r="G18" s="201"/>
      <c r="H18" s="63">
        <f>ROUND(0.227*(D5/0.01)^0.444*100,0)</f>
        <v>719</v>
      </c>
      <c r="I18" s="24" t="s">
        <v>112</v>
      </c>
      <c r="O18" s="27"/>
      <c r="P18" s="27"/>
      <c r="Q18" s="27"/>
      <c r="R18" s="27"/>
    </row>
    <row r="19" spans="2:18" s="64" customFormat="1" ht="75" x14ac:dyDescent="0.4">
      <c r="B19" s="206"/>
      <c r="C19" s="207"/>
      <c r="D19" s="65" t="s">
        <v>68</v>
      </c>
      <c r="E19" s="63" t="s">
        <v>67</v>
      </c>
      <c r="F19" s="200" t="s">
        <v>110</v>
      </c>
      <c r="G19" s="201"/>
      <c r="H19" s="63">
        <f>ROUND(0.434*(D5/0.01)^0.373*100,0)</f>
        <v>791</v>
      </c>
      <c r="I19" s="24" t="s">
        <v>111</v>
      </c>
      <c r="O19" s="27"/>
      <c r="P19" s="27"/>
      <c r="Q19" s="27"/>
      <c r="R19" s="27"/>
    </row>
    <row r="20" spans="2:18" ht="18.75" customHeight="1" x14ac:dyDescent="0.4">
      <c r="B20" s="206"/>
      <c r="C20" s="189" t="s">
        <v>7</v>
      </c>
      <c r="D20" s="81" t="s">
        <v>98</v>
      </c>
      <c r="E20" s="10" t="s">
        <v>20</v>
      </c>
      <c r="F20" s="200" t="s">
        <v>103</v>
      </c>
      <c r="G20" s="201"/>
      <c r="H20" s="23">
        <f>2.426*D3^0.0094*100</f>
        <v>253.33243441857411</v>
      </c>
      <c r="I20" s="16" t="s">
        <v>100</v>
      </c>
      <c r="O20" s="27"/>
      <c r="P20" s="27"/>
      <c r="Q20" s="43"/>
      <c r="R20" s="27"/>
    </row>
    <row r="21" spans="2:18" ht="19.5" customHeight="1" x14ac:dyDescent="0.4">
      <c r="B21" s="206"/>
      <c r="C21" s="193"/>
      <c r="D21" s="65" t="s">
        <v>68</v>
      </c>
      <c r="E21" s="10" t="s">
        <v>20</v>
      </c>
      <c r="F21" s="200" t="s">
        <v>104</v>
      </c>
      <c r="G21" s="201"/>
      <c r="H21" s="23">
        <f>1.888*D3^0.597*100</f>
        <v>2951.2227493061223</v>
      </c>
      <c r="I21" s="16" t="s">
        <v>101</v>
      </c>
      <c r="J21" s="50"/>
      <c r="O21" s="212"/>
      <c r="P21" s="45"/>
      <c r="Q21" s="43"/>
      <c r="R21" s="243"/>
    </row>
    <row r="22" spans="2:18" ht="20.25" x14ac:dyDescent="0.4">
      <c r="B22" s="206"/>
      <c r="C22" s="190"/>
      <c r="D22" s="90" t="s">
        <v>69</v>
      </c>
      <c r="E22" s="10" t="s">
        <v>20</v>
      </c>
      <c r="F22" s="200" t="s">
        <v>105</v>
      </c>
      <c r="G22" s="201"/>
      <c r="H22" s="23">
        <f>0.726*D3^0.539*100</f>
        <v>868.83362572905901</v>
      </c>
      <c r="I22" s="91" t="s">
        <v>102</v>
      </c>
      <c r="O22" s="212"/>
      <c r="P22" s="45"/>
      <c r="Q22" s="43"/>
      <c r="R22" s="243"/>
    </row>
    <row r="23" spans="2:18" s="64" customFormat="1" ht="19.5" customHeight="1" x14ac:dyDescent="0.4">
      <c r="B23" s="206"/>
      <c r="C23" s="59"/>
      <c r="D23" s="60" t="s">
        <v>70</v>
      </c>
      <c r="E23" s="63" t="s">
        <v>20</v>
      </c>
      <c r="F23" s="200" t="s">
        <v>23</v>
      </c>
      <c r="G23" s="201"/>
      <c r="H23" s="23">
        <f>H18+H19+H20+H21+H22</f>
        <v>5583.388809453756</v>
      </c>
      <c r="I23" s="16" t="s">
        <v>71</v>
      </c>
      <c r="O23" s="212"/>
      <c r="P23" s="70"/>
      <c r="Q23" s="43"/>
      <c r="R23" s="27"/>
    </row>
    <row r="24" spans="2:18" ht="19.5" customHeight="1" x14ac:dyDescent="0.4">
      <c r="B24" s="206"/>
      <c r="C24" s="66"/>
      <c r="D24" s="203" t="s">
        <v>2</v>
      </c>
      <c r="E24" s="250" t="s">
        <v>21</v>
      </c>
      <c r="F24" s="266" t="s">
        <v>47</v>
      </c>
      <c r="G24" s="228"/>
      <c r="H24" s="238">
        <f>H18*L24*(1+L24)^L27/((1+L24)^L27-1)+H19*L24*(1+L24)^L28/((1+L24)^L28-1)+H20*L24*(1+L24)^L27/((1+L24)^L27-1)+H21*L24*(1+L24)^L30/((1+L24)^L30-1)+H22*L24*(1+L24)^L31/((1+L24)^L31-1)</f>
        <v>498.74782461979487</v>
      </c>
      <c r="I24" s="216" t="s">
        <v>85</v>
      </c>
      <c r="K24" s="52" t="s">
        <v>75</v>
      </c>
      <c r="L24" s="96">
        <v>2.3E-2</v>
      </c>
      <c r="O24" s="212"/>
      <c r="P24" s="212"/>
      <c r="Q24" s="12"/>
      <c r="R24" s="27"/>
    </row>
    <row r="25" spans="2:18" s="26" customFormat="1" ht="19.5" customHeight="1" x14ac:dyDescent="0.4">
      <c r="B25" s="206"/>
      <c r="C25" s="67"/>
      <c r="D25" s="205"/>
      <c r="E25" s="235"/>
      <c r="F25" s="231"/>
      <c r="G25" s="232"/>
      <c r="H25" s="239"/>
      <c r="I25" s="240"/>
      <c r="K25" s="30"/>
      <c r="L25" s="27"/>
      <c r="O25" s="45"/>
      <c r="P25" s="45"/>
      <c r="Q25" s="12"/>
      <c r="R25" s="27"/>
    </row>
    <row r="26" spans="2:18" s="64" customFormat="1" ht="18.75" customHeight="1" x14ac:dyDescent="0.4">
      <c r="B26" s="206"/>
      <c r="C26" s="189" t="s">
        <v>66</v>
      </c>
      <c r="D26" s="216" t="s">
        <v>50</v>
      </c>
      <c r="E26" s="250" t="s">
        <v>21</v>
      </c>
      <c r="F26" s="227" t="s">
        <v>200</v>
      </c>
      <c r="G26" s="262"/>
      <c r="H26" s="233">
        <f>0.039*((D5/0.01)*G3*G5)^0.596</f>
        <v>119.7441003818203</v>
      </c>
      <c r="I26" s="216" t="s">
        <v>114</v>
      </c>
      <c r="K26" s="244" t="s">
        <v>72</v>
      </c>
      <c r="L26" s="245"/>
      <c r="O26" s="70"/>
      <c r="P26" s="70"/>
      <c r="Q26" s="12"/>
      <c r="R26" s="27"/>
    </row>
    <row r="27" spans="2:18" s="82" customFormat="1" ht="18.75" customHeight="1" x14ac:dyDescent="0.4">
      <c r="B27" s="206"/>
      <c r="C27" s="193"/>
      <c r="D27" s="246"/>
      <c r="E27" s="275"/>
      <c r="F27" s="229"/>
      <c r="G27" s="271"/>
      <c r="H27" s="234"/>
      <c r="I27" s="246"/>
      <c r="K27" s="63" t="s">
        <v>73</v>
      </c>
      <c r="L27" s="34">
        <v>50</v>
      </c>
      <c r="O27" s="76"/>
      <c r="P27" s="76"/>
      <c r="Q27" s="12"/>
      <c r="R27" s="27"/>
    </row>
    <row r="28" spans="2:18" s="64" customFormat="1" ht="18.75" customHeight="1" x14ac:dyDescent="0.4">
      <c r="B28" s="206"/>
      <c r="C28" s="190"/>
      <c r="D28" s="240"/>
      <c r="E28" s="235"/>
      <c r="F28" s="263"/>
      <c r="G28" s="264"/>
      <c r="H28" s="241"/>
      <c r="I28" s="240"/>
      <c r="K28" s="37" t="s">
        <v>74</v>
      </c>
      <c r="L28" s="54">
        <v>15</v>
      </c>
      <c r="O28" s="70"/>
      <c r="P28" s="70"/>
      <c r="Q28" s="27"/>
      <c r="R28" s="27"/>
    </row>
    <row r="29" spans="2:18" s="26" customFormat="1" ht="18.75" customHeight="1" x14ac:dyDescent="0.4">
      <c r="B29" s="206"/>
      <c r="C29" s="189" t="s">
        <v>7</v>
      </c>
      <c r="D29" s="272" t="s">
        <v>50</v>
      </c>
      <c r="E29" s="250" t="s">
        <v>21</v>
      </c>
      <c r="F29" s="227" t="s">
        <v>201</v>
      </c>
      <c r="G29" s="262"/>
      <c r="H29" s="233">
        <f>0.287*(D3*G3*G5)^0.673</f>
        <v>292.89732964268671</v>
      </c>
      <c r="I29" s="189" t="s">
        <v>115</v>
      </c>
      <c r="K29" s="137" t="s">
        <v>184</v>
      </c>
      <c r="L29" s="137">
        <v>15</v>
      </c>
      <c r="O29" s="45"/>
      <c r="P29" s="45"/>
      <c r="Q29" s="12"/>
      <c r="R29" s="27"/>
    </row>
    <row r="30" spans="2:18" ht="18.75" customHeight="1" x14ac:dyDescent="0.4">
      <c r="B30" s="206"/>
      <c r="C30" s="206"/>
      <c r="D30" s="273"/>
      <c r="E30" s="235"/>
      <c r="F30" s="263"/>
      <c r="G30" s="264"/>
      <c r="H30" s="241"/>
      <c r="I30" s="190"/>
      <c r="K30" s="61" t="s">
        <v>7</v>
      </c>
      <c r="L30" s="155">
        <v>10</v>
      </c>
      <c r="O30" s="45"/>
      <c r="P30" s="45"/>
      <c r="Q30" s="27"/>
      <c r="R30" s="27"/>
    </row>
    <row r="31" spans="2:18" s="64" customFormat="1" ht="18.75" customHeight="1" x14ac:dyDescent="0.4">
      <c r="B31" s="206"/>
      <c r="C31" s="206"/>
      <c r="D31" s="272" t="s">
        <v>168</v>
      </c>
      <c r="E31" s="250" t="s">
        <v>21</v>
      </c>
      <c r="F31" s="227" t="s">
        <v>116</v>
      </c>
      <c r="G31" s="228"/>
      <c r="H31" s="233">
        <f>ROUND(D5*(1-D6)*G3*G5*G11/(1-0.3)*10^-6,0)</f>
        <v>13</v>
      </c>
      <c r="I31" s="216" t="s">
        <v>117</v>
      </c>
      <c r="K31" s="63" t="s">
        <v>4</v>
      </c>
      <c r="L31" s="34">
        <v>15</v>
      </c>
      <c r="O31" s="70"/>
      <c r="P31" s="70"/>
      <c r="Q31" s="27"/>
      <c r="R31" s="27"/>
    </row>
    <row r="32" spans="2:18" s="82" customFormat="1" ht="18.75" customHeight="1" x14ac:dyDescent="0.4">
      <c r="B32" s="206"/>
      <c r="C32" s="206"/>
      <c r="D32" s="274"/>
      <c r="E32" s="275"/>
      <c r="F32" s="229"/>
      <c r="G32" s="230"/>
      <c r="H32" s="234"/>
      <c r="I32" s="246"/>
      <c r="K32" s="219" t="s">
        <v>183</v>
      </c>
      <c r="L32" s="220"/>
      <c r="O32" s="76"/>
      <c r="P32" s="76"/>
      <c r="Q32" s="27"/>
      <c r="R32" s="27"/>
    </row>
    <row r="33" spans="2:18" s="64" customFormat="1" ht="18.75" customHeight="1" x14ac:dyDescent="0.4">
      <c r="B33" s="206"/>
      <c r="C33" s="206"/>
      <c r="D33" s="273"/>
      <c r="E33" s="235"/>
      <c r="F33" s="231"/>
      <c r="G33" s="232"/>
      <c r="H33" s="235"/>
      <c r="I33" s="240"/>
      <c r="K33" s="221"/>
      <c r="L33" s="221"/>
      <c r="O33" s="70"/>
      <c r="P33" s="70"/>
      <c r="Q33" s="27"/>
      <c r="R33" s="27"/>
    </row>
    <row r="34" spans="2:18" s="64" customFormat="1" ht="18.75" customHeight="1" x14ac:dyDescent="0.4">
      <c r="B34" s="206"/>
      <c r="C34" s="207"/>
      <c r="D34" s="60" t="s">
        <v>88</v>
      </c>
      <c r="E34" s="63" t="s">
        <v>21</v>
      </c>
      <c r="F34" s="200" t="s">
        <v>23</v>
      </c>
      <c r="G34" s="201"/>
      <c r="H34" s="23">
        <f>H29+H31</f>
        <v>305.89732964268671</v>
      </c>
      <c r="I34" s="24" t="s">
        <v>89</v>
      </c>
      <c r="K34" s="26"/>
      <c r="L34" s="26"/>
      <c r="O34" s="70"/>
      <c r="P34" s="70"/>
      <c r="Q34" s="27"/>
      <c r="R34" s="27"/>
    </row>
    <row r="35" spans="2:18" s="64" customFormat="1" ht="18.75" customHeight="1" x14ac:dyDescent="0.4">
      <c r="B35" s="206"/>
      <c r="C35" s="59"/>
      <c r="D35" s="60" t="s">
        <v>87</v>
      </c>
      <c r="E35" s="63" t="s">
        <v>21</v>
      </c>
      <c r="F35" s="200" t="s">
        <v>23</v>
      </c>
      <c r="G35" s="203"/>
      <c r="H35" s="97">
        <f>H26+H29+H31</f>
        <v>425.64143002450703</v>
      </c>
      <c r="I35" s="71" t="s">
        <v>90</v>
      </c>
      <c r="O35" s="70"/>
      <c r="P35" s="70"/>
      <c r="Q35" s="27"/>
      <c r="R35" s="27"/>
    </row>
    <row r="36" spans="2:18" s="64" customFormat="1" ht="56.25" x14ac:dyDescent="0.4">
      <c r="B36" s="206"/>
      <c r="C36" s="59"/>
      <c r="D36" s="60" t="s">
        <v>91</v>
      </c>
      <c r="E36" s="63" t="s">
        <v>21</v>
      </c>
      <c r="F36" s="214" t="s">
        <v>92</v>
      </c>
      <c r="G36" s="215"/>
      <c r="H36" s="23">
        <f>H24*(0.15*0.4+0.04)</f>
        <v>49.874782461979493</v>
      </c>
      <c r="I36" s="24" t="s">
        <v>93</v>
      </c>
      <c r="O36" s="70"/>
      <c r="P36" s="70"/>
      <c r="Q36" s="27"/>
      <c r="R36" s="27"/>
    </row>
    <row r="37" spans="2:18" s="26" customFormat="1" ht="18.75" customHeight="1" x14ac:dyDescent="0.4">
      <c r="B37" s="207"/>
      <c r="C37" s="294" t="s">
        <v>51</v>
      </c>
      <c r="D37" s="295"/>
      <c r="E37" s="61" t="s">
        <v>21</v>
      </c>
      <c r="F37" s="202" t="s">
        <v>23</v>
      </c>
      <c r="G37" s="203"/>
      <c r="H37" s="62">
        <f>H24+H35+H36</f>
        <v>974.26403710628142</v>
      </c>
      <c r="I37" s="72" t="s">
        <v>94</v>
      </c>
      <c r="O37" s="45"/>
      <c r="P37" s="45"/>
      <c r="Q37" s="27"/>
      <c r="R37" s="27"/>
    </row>
    <row r="38" spans="2:18" ht="18.75" customHeight="1" x14ac:dyDescent="0.4">
      <c r="B38" s="189" t="s">
        <v>3</v>
      </c>
      <c r="C38" s="74" t="s">
        <v>66</v>
      </c>
      <c r="D38" s="81" t="s">
        <v>99</v>
      </c>
      <c r="E38" s="77" t="s">
        <v>21</v>
      </c>
      <c r="F38" s="265" t="s">
        <v>118</v>
      </c>
      <c r="G38" s="223"/>
      <c r="H38" s="110">
        <f>1.06*D5+14.11</f>
        <v>39.549999999999997</v>
      </c>
      <c r="I38" s="16" t="s">
        <v>119</v>
      </c>
      <c r="O38" s="45"/>
      <c r="P38" s="45"/>
      <c r="Q38" s="27"/>
      <c r="R38" s="27"/>
    </row>
    <row r="39" spans="2:18" ht="18.75" customHeight="1" x14ac:dyDescent="0.4">
      <c r="B39" s="193"/>
      <c r="C39" s="189" t="s">
        <v>7</v>
      </c>
      <c r="D39" s="81" t="s">
        <v>99</v>
      </c>
      <c r="E39" s="77" t="s">
        <v>21</v>
      </c>
      <c r="F39" s="222" t="s">
        <v>120</v>
      </c>
      <c r="G39" s="223"/>
      <c r="H39" s="110">
        <f>4.43*D5+161.4</f>
        <v>267.72000000000003</v>
      </c>
      <c r="I39" s="16" t="s">
        <v>125</v>
      </c>
      <c r="K39" s="27"/>
      <c r="L39" s="27"/>
      <c r="O39" s="45"/>
      <c r="P39" s="45"/>
      <c r="Q39" s="43"/>
      <c r="R39" s="27"/>
    </row>
    <row r="40" spans="2:18" ht="18.75" customHeight="1" x14ac:dyDescent="0.4">
      <c r="B40" s="193"/>
      <c r="C40" s="190"/>
      <c r="D40" s="90" t="s">
        <v>106</v>
      </c>
      <c r="E40" s="77" t="s">
        <v>21</v>
      </c>
      <c r="F40" s="222" t="s">
        <v>121</v>
      </c>
      <c r="G40" s="223"/>
      <c r="H40" s="110">
        <f>1.19*D5+19.3</f>
        <v>47.86</v>
      </c>
      <c r="I40" s="16" t="s">
        <v>126</v>
      </c>
      <c r="K40" s="111"/>
      <c r="L40" s="149"/>
      <c r="O40" s="45"/>
      <c r="P40" s="45"/>
      <c r="Q40" s="43"/>
      <c r="R40" s="27"/>
    </row>
    <row r="41" spans="2:18" ht="18.75" customHeight="1" x14ac:dyDescent="0.4">
      <c r="B41" s="193"/>
      <c r="C41" s="189" t="s">
        <v>107</v>
      </c>
      <c r="D41" s="81" t="s">
        <v>99</v>
      </c>
      <c r="E41" s="77" t="s">
        <v>21</v>
      </c>
      <c r="F41" s="222" t="s">
        <v>122</v>
      </c>
      <c r="G41" s="223"/>
      <c r="H41" s="110">
        <f>0.86*D5+1.06</f>
        <v>21.7</v>
      </c>
      <c r="I41" s="16" t="s">
        <v>127</v>
      </c>
      <c r="K41" s="111"/>
      <c r="L41" s="149"/>
      <c r="O41" s="212"/>
      <c r="P41" s="212"/>
      <c r="Q41" s="12"/>
      <c r="R41" s="27"/>
    </row>
    <row r="42" spans="2:18" s="82" customFormat="1" ht="18.75" customHeight="1" x14ac:dyDescent="0.4">
      <c r="B42" s="193"/>
      <c r="C42" s="190"/>
      <c r="D42" s="90" t="s">
        <v>106</v>
      </c>
      <c r="E42" s="77" t="s">
        <v>21</v>
      </c>
      <c r="F42" s="222" t="s">
        <v>123</v>
      </c>
      <c r="G42" s="223"/>
      <c r="H42" s="110">
        <f>0.133*D5+1.59</f>
        <v>4.782</v>
      </c>
      <c r="I42" s="16" t="s">
        <v>128</v>
      </c>
      <c r="K42" s="30"/>
      <c r="L42" s="27"/>
      <c r="O42" s="76"/>
      <c r="P42" s="76"/>
      <c r="Q42" s="12"/>
      <c r="R42" s="27"/>
    </row>
    <row r="43" spans="2:18" s="82" customFormat="1" ht="18.75" customHeight="1" x14ac:dyDescent="0.4">
      <c r="B43" s="193"/>
      <c r="C43" s="83"/>
      <c r="D43" s="90" t="s">
        <v>108</v>
      </c>
      <c r="E43" s="77" t="s">
        <v>21</v>
      </c>
      <c r="F43" s="222" t="s">
        <v>124</v>
      </c>
      <c r="G43" s="223"/>
      <c r="H43" s="110">
        <f>0.071*D5+5.19</f>
        <v>6.8940000000000001</v>
      </c>
      <c r="I43" s="16" t="s">
        <v>129</v>
      </c>
      <c r="K43" s="183"/>
      <c r="L43" s="27"/>
      <c r="O43" s="76"/>
      <c r="P43" s="76"/>
      <c r="Q43" s="12"/>
      <c r="R43" s="27"/>
    </row>
    <row r="44" spans="2:18" ht="18.75" customHeight="1" x14ac:dyDescent="0.4">
      <c r="B44" s="193"/>
      <c r="C44" s="88"/>
      <c r="D44" s="73" t="s">
        <v>2</v>
      </c>
      <c r="E44" s="101" t="s">
        <v>21</v>
      </c>
      <c r="F44" s="200" t="s">
        <v>23</v>
      </c>
      <c r="G44" s="201"/>
      <c r="H44" s="110">
        <f>H38+H39+H40+H41+H42+H43</f>
        <v>388.50600000000003</v>
      </c>
      <c r="I44" s="16" t="s">
        <v>130</v>
      </c>
      <c r="K44" s="242"/>
      <c r="L44" s="242"/>
      <c r="O44" s="212"/>
      <c r="P44" s="212"/>
      <c r="Q44" s="43"/>
      <c r="R44" s="27"/>
    </row>
    <row r="45" spans="2:18" s="26" customFormat="1" ht="18.75" customHeight="1" x14ac:dyDescent="0.4">
      <c r="B45" s="193"/>
      <c r="C45" s="189" t="s">
        <v>66</v>
      </c>
      <c r="D45" s="189" t="s">
        <v>52</v>
      </c>
      <c r="E45" s="80" t="s">
        <v>131</v>
      </c>
      <c r="F45" s="200" t="s">
        <v>132</v>
      </c>
      <c r="G45" s="201"/>
      <c r="H45" s="116">
        <f xml:space="preserve"> 20.39*D5-18.17</f>
        <v>471.19</v>
      </c>
      <c r="I45" s="16" t="s">
        <v>140</v>
      </c>
      <c r="K45" s="27"/>
      <c r="L45" s="149"/>
      <c r="O45" s="45"/>
      <c r="P45" s="45"/>
      <c r="Q45" s="43"/>
      <c r="R45" s="27"/>
    </row>
    <row r="46" spans="2:18" ht="18.75" customHeight="1" x14ac:dyDescent="0.4">
      <c r="B46" s="193"/>
      <c r="C46" s="193"/>
      <c r="D46" s="190"/>
      <c r="E46" s="79" t="s">
        <v>21</v>
      </c>
      <c r="F46" s="202" t="s">
        <v>138</v>
      </c>
      <c r="G46" s="203"/>
      <c r="H46" s="117">
        <f>H45*G6*10^-3</f>
        <v>7.0678500000000009</v>
      </c>
      <c r="I46" s="78" t="s">
        <v>141</v>
      </c>
      <c r="K46" s="184"/>
      <c r="L46" s="150"/>
      <c r="O46" s="212"/>
      <c r="P46" s="212"/>
      <c r="Q46" s="44"/>
      <c r="R46" s="27"/>
    </row>
    <row r="47" spans="2:18" s="26" customFormat="1" ht="18.75" customHeight="1" x14ac:dyDescent="0.4">
      <c r="B47" s="193"/>
      <c r="C47" s="193"/>
      <c r="D47" s="189" t="s">
        <v>133</v>
      </c>
      <c r="E47" s="79" t="s">
        <v>136</v>
      </c>
      <c r="F47" s="202" t="s">
        <v>134</v>
      </c>
      <c r="G47" s="203"/>
      <c r="H47" s="116">
        <f xml:space="preserve"> 2.07*D5</f>
        <v>49.679999999999993</v>
      </c>
      <c r="I47" s="16" t="s">
        <v>140</v>
      </c>
      <c r="K47" s="27"/>
      <c r="L47" s="149"/>
      <c r="O47" s="45"/>
      <c r="P47" s="45"/>
      <c r="Q47" s="44"/>
      <c r="R47" s="27"/>
    </row>
    <row r="48" spans="2:18" ht="18.75" customHeight="1" x14ac:dyDescent="0.4">
      <c r="B48" s="193"/>
      <c r="C48" s="193"/>
      <c r="D48" s="206"/>
      <c r="E48" s="79" t="s">
        <v>137</v>
      </c>
      <c r="F48" s="200" t="s">
        <v>135</v>
      </c>
      <c r="G48" s="201"/>
      <c r="H48" s="117">
        <f>29.57*D5</f>
        <v>709.68000000000006</v>
      </c>
      <c r="I48" s="78" t="s">
        <v>139</v>
      </c>
      <c r="K48" s="27"/>
      <c r="L48" s="149"/>
      <c r="O48" s="212"/>
      <c r="P48" s="212"/>
      <c r="Q48" s="12"/>
      <c r="R48" s="27"/>
    </row>
    <row r="49" spans="2:18" s="26" customFormat="1" ht="18.75" customHeight="1" x14ac:dyDescent="0.4">
      <c r="B49" s="193"/>
      <c r="C49" s="193"/>
      <c r="D49" s="206"/>
      <c r="E49" s="236" t="s">
        <v>142</v>
      </c>
      <c r="F49" s="202" t="s">
        <v>143</v>
      </c>
      <c r="G49" s="203"/>
      <c r="H49" s="217">
        <f>H47*G7*10^-3</f>
        <v>24.839999999999996</v>
      </c>
      <c r="I49" s="216" t="s">
        <v>146</v>
      </c>
      <c r="K49" s="27"/>
      <c r="L49" s="149"/>
      <c r="O49" s="45"/>
      <c r="P49" s="45"/>
      <c r="Q49" s="12"/>
      <c r="R49" s="27"/>
    </row>
    <row r="50" spans="2:18" ht="18.75" customHeight="1" x14ac:dyDescent="0.4">
      <c r="B50" s="193"/>
      <c r="C50" s="193"/>
      <c r="D50" s="206"/>
      <c r="E50" s="237"/>
      <c r="F50" s="204"/>
      <c r="G50" s="205"/>
      <c r="H50" s="218"/>
      <c r="I50" s="190"/>
      <c r="K50" s="27"/>
      <c r="L50" s="27"/>
      <c r="O50" s="46"/>
      <c r="P50" s="46"/>
      <c r="Q50" s="12"/>
      <c r="R50" s="11"/>
    </row>
    <row r="51" spans="2:18" ht="19.5" customHeight="1" x14ac:dyDescent="0.4">
      <c r="B51" s="193"/>
      <c r="C51" s="193"/>
      <c r="D51" s="206"/>
      <c r="E51" s="236" t="s">
        <v>144</v>
      </c>
      <c r="F51" s="202" t="s">
        <v>145</v>
      </c>
      <c r="G51" s="203"/>
      <c r="H51" s="217">
        <f>H48*G8*10^-3</f>
        <v>14.193600000000002</v>
      </c>
      <c r="I51" s="216" t="s">
        <v>147</v>
      </c>
      <c r="K51" s="27"/>
      <c r="L51" s="27"/>
      <c r="Q51" s="12"/>
      <c r="R51" s="11"/>
    </row>
    <row r="52" spans="2:18" s="26" customFormat="1" ht="19.5" customHeight="1" x14ac:dyDescent="0.4">
      <c r="B52" s="193"/>
      <c r="C52" s="193"/>
      <c r="D52" s="206"/>
      <c r="E52" s="237"/>
      <c r="F52" s="204"/>
      <c r="G52" s="205"/>
      <c r="H52" s="218"/>
      <c r="I52" s="190"/>
      <c r="K52" s="111"/>
      <c r="L52" s="109"/>
      <c r="Q52" s="12"/>
      <c r="R52" s="27"/>
    </row>
    <row r="53" spans="2:18" s="26" customFormat="1" ht="18.75" customHeight="1" x14ac:dyDescent="0.4">
      <c r="B53" s="193"/>
      <c r="C53" s="190"/>
      <c r="D53" s="207"/>
      <c r="E53" s="79" t="s">
        <v>21</v>
      </c>
      <c r="F53" s="200" t="s">
        <v>23</v>
      </c>
      <c r="G53" s="201"/>
      <c r="H53" s="118">
        <f>H49+H51</f>
        <v>39.0336</v>
      </c>
      <c r="I53" s="75" t="s">
        <v>180</v>
      </c>
      <c r="K53" s="27"/>
      <c r="L53" s="27"/>
      <c r="Q53" s="12"/>
      <c r="R53" s="27"/>
    </row>
    <row r="54" spans="2:18" ht="18.75" customHeight="1" x14ac:dyDescent="0.4">
      <c r="B54" s="193"/>
      <c r="C54" s="189" t="s">
        <v>205</v>
      </c>
      <c r="D54" s="189" t="s">
        <v>52</v>
      </c>
      <c r="E54" s="250" t="s">
        <v>131</v>
      </c>
      <c r="F54" s="202" t="s">
        <v>148</v>
      </c>
      <c r="G54" s="203"/>
      <c r="H54" s="297">
        <f>39.39*D5+222.84</f>
        <v>1168.2</v>
      </c>
      <c r="I54" s="225" t="s">
        <v>149</v>
      </c>
      <c r="K54" s="111"/>
      <c r="L54" s="109"/>
      <c r="O54" s="18"/>
      <c r="P54" s="4"/>
      <c r="Q54" s="4"/>
      <c r="R54" s="11"/>
    </row>
    <row r="55" spans="2:18" s="82" customFormat="1" ht="18.75" customHeight="1" x14ac:dyDescent="0.4">
      <c r="B55" s="193"/>
      <c r="C55" s="193"/>
      <c r="D55" s="193"/>
      <c r="E55" s="235"/>
      <c r="F55" s="204"/>
      <c r="G55" s="205"/>
      <c r="H55" s="298"/>
      <c r="I55" s="226"/>
      <c r="K55" s="111"/>
      <c r="L55" s="109"/>
      <c r="O55" s="18"/>
      <c r="P55" s="76"/>
      <c r="Q55" s="76"/>
      <c r="R55" s="27"/>
    </row>
    <row r="56" spans="2:18" s="26" customFormat="1" ht="19.5" customHeight="1" x14ac:dyDescent="0.4">
      <c r="B56" s="193"/>
      <c r="C56" s="193"/>
      <c r="D56" s="190"/>
      <c r="E56" s="105" t="s">
        <v>21</v>
      </c>
      <c r="F56" s="202" t="s">
        <v>152</v>
      </c>
      <c r="G56" s="203"/>
      <c r="H56" s="119">
        <f>H54*G6*10^-3</f>
        <v>17.523</v>
      </c>
      <c r="I56" s="100" t="s">
        <v>176</v>
      </c>
      <c r="K56" s="27"/>
      <c r="L56" s="27"/>
      <c r="O56" s="18"/>
      <c r="P56" s="4"/>
      <c r="Q56" s="4"/>
      <c r="R56" s="27"/>
    </row>
    <row r="57" spans="2:18" s="39" customFormat="1" x14ac:dyDescent="0.4">
      <c r="B57" s="193"/>
      <c r="C57" s="193"/>
      <c r="D57" s="296" t="s">
        <v>53</v>
      </c>
      <c r="E57" s="108" t="s">
        <v>160</v>
      </c>
      <c r="F57" s="224" t="s">
        <v>151</v>
      </c>
      <c r="G57" s="201"/>
      <c r="H57" s="188">
        <f>112.07*D5-217.98</f>
        <v>2471.6999999999998</v>
      </c>
      <c r="I57" s="16" t="s">
        <v>140</v>
      </c>
      <c r="K57" s="89"/>
      <c r="L57" s="89"/>
      <c r="O57" s="213"/>
      <c r="P57" s="213"/>
      <c r="Q57" s="41"/>
      <c r="R57" s="89"/>
    </row>
    <row r="58" spans="2:18" s="26" customFormat="1" ht="19.5" customHeight="1" x14ac:dyDescent="0.4">
      <c r="B58" s="193"/>
      <c r="C58" s="193"/>
      <c r="D58" s="193"/>
      <c r="E58" s="101" t="s">
        <v>21</v>
      </c>
      <c r="F58" s="222" t="s">
        <v>161</v>
      </c>
      <c r="G58" s="201"/>
      <c r="H58" s="110">
        <f>H57*G6*10^-3</f>
        <v>37.075499999999998</v>
      </c>
      <c r="I58" s="104" t="s">
        <v>177</v>
      </c>
      <c r="K58" s="111"/>
      <c r="L58" s="109"/>
      <c r="O58" s="4"/>
      <c r="P58" s="4"/>
      <c r="Q58" s="4"/>
      <c r="R58" s="27"/>
    </row>
    <row r="59" spans="2:18" s="106" customFormat="1" ht="19.5" customHeight="1" x14ac:dyDescent="0.4">
      <c r="B59" s="193"/>
      <c r="C59" s="193"/>
      <c r="D59" s="189" t="s">
        <v>153</v>
      </c>
      <c r="E59" s="107" t="s">
        <v>154</v>
      </c>
      <c r="F59" s="222" t="s">
        <v>155</v>
      </c>
      <c r="G59" s="201"/>
      <c r="H59" s="121">
        <f>0.098*D5</f>
        <v>2.3520000000000003</v>
      </c>
      <c r="I59" s="104" t="s">
        <v>169</v>
      </c>
      <c r="K59" s="27"/>
      <c r="L59" s="109"/>
      <c r="O59" s="109"/>
      <c r="P59" s="109"/>
      <c r="Q59" s="109"/>
    </row>
    <row r="60" spans="2:18" s="106" customFormat="1" ht="19.5" customHeight="1" x14ac:dyDescent="0.4">
      <c r="B60" s="193"/>
      <c r="C60" s="193"/>
      <c r="D60" s="190"/>
      <c r="E60" s="99" t="s">
        <v>158</v>
      </c>
      <c r="F60" s="222" t="s">
        <v>162</v>
      </c>
      <c r="G60" s="201"/>
      <c r="H60" s="121">
        <f>H59*G9*10^-3</f>
        <v>0.22579200000000005</v>
      </c>
      <c r="I60" s="103" t="s">
        <v>159</v>
      </c>
      <c r="K60" s="27"/>
      <c r="L60" s="109"/>
      <c r="O60" s="109"/>
      <c r="P60" s="109"/>
      <c r="Q60" s="109"/>
    </row>
    <row r="61" spans="2:18" ht="37.5" x14ac:dyDescent="0.4">
      <c r="B61" s="193"/>
      <c r="C61" s="193"/>
      <c r="D61" s="189" t="s">
        <v>54</v>
      </c>
      <c r="E61" s="15" t="s">
        <v>163</v>
      </c>
      <c r="F61" s="222" t="s">
        <v>164</v>
      </c>
      <c r="G61" s="223"/>
      <c r="H61" s="23">
        <f>42.98*D5</f>
        <v>1031.52</v>
      </c>
      <c r="I61" s="16" t="s">
        <v>140</v>
      </c>
      <c r="K61" s="27"/>
      <c r="L61" s="27"/>
      <c r="O61" s="212"/>
      <c r="P61" s="212"/>
      <c r="Q61" s="4"/>
    </row>
    <row r="62" spans="2:18" s="26" customFormat="1" ht="19.5" customHeight="1" x14ac:dyDescent="0.4">
      <c r="B62" s="193"/>
      <c r="C62" s="193"/>
      <c r="D62" s="193"/>
      <c r="E62" s="101" t="s">
        <v>21</v>
      </c>
      <c r="F62" s="214" t="s">
        <v>166</v>
      </c>
      <c r="G62" s="215"/>
      <c r="H62" s="98">
        <f>H61*G10*10^-3</f>
        <v>18.567360000000001</v>
      </c>
      <c r="I62" s="103" t="s">
        <v>178</v>
      </c>
      <c r="K62" s="111"/>
      <c r="L62" s="109"/>
      <c r="O62" s="4"/>
      <c r="P62" s="4"/>
      <c r="Q62" s="4"/>
    </row>
    <row r="63" spans="2:18" ht="39" customHeight="1" x14ac:dyDescent="0.4">
      <c r="B63" s="193"/>
      <c r="C63" s="193"/>
      <c r="D63" s="189" t="s">
        <v>167</v>
      </c>
      <c r="E63" s="15" t="s">
        <v>172</v>
      </c>
      <c r="F63" s="200" t="s">
        <v>170</v>
      </c>
      <c r="G63" s="201"/>
      <c r="H63" s="23">
        <f>75.56*D5</f>
        <v>1813.44</v>
      </c>
      <c r="I63" s="16" t="s">
        <v>140</v>
      </c>
      <c r="K63" s="27"/>
      <c r="L63" s="27"/>
      <c r="O63" s="212"/>
      <c r="P63" s="212"/>
      <c r="Q63" s="4"/>
      <c r="R63" s="4"/>
    </row>
    <row r="64" spans="2:18" s="26" customFormat="1" ht="19.5" customHeight="1" x14ac:dyDescent="0.4">
      <c r="B64" s="193"/>
      <c r="C64" s="193"/>
      <c r="D64" s="193"/>
      <c r="E64" s="101" t="s">
        <v>21</v>
      </c>
      <c r="F64" s="266" t="s">
        <v>171</v>
      </c>
      <c r="G64" s="228"/>
      <c r="H64" s="98">
        <f>H63*G11*10^-6</f>
        <v>14.50752</v>
      </c>
      <c r="I64" s="16" t="s">
        <v>174</v>
      </c>
      <c r="K64" s="27"/>
      <c r="L64" s="27"/>
      <c r="O64" s="4"/>
      <c r="P64" s="4"/>
      <c r="Q64" s="4"/>
      <c r="R64" s="4"/>
    </row>
    <row r="65" spans="2:18" s="106" customFormat="1" ht="19.5" customHeight="1" x14ac:dyDescent="0.4">
      <c r="B65" s="193"/>
      <c r="C65" s="193"/>
      <c r="D65" s="100" t="s">
        <v>173</v>
      </c>
      <c r="E65" s="107" t="s">
        <v>21</v>
      </c>
      <c r="F65" s="200" t="s">
        <v>24</v>
      </c>
      <c r="G65" s="201"/>
      <c r="H65" s="23">
        <v>94</v>
      </c>
      <c r="I65" s="16" t="s">
        <v>179</v>
      </c>
      <c r="K65" s="27"/>
      <c r="L65" s="27"/>
      <c r="O65" s="109"/>
      <c r="P65" s="109"/>
      <c r="Q65" s="109"/>
      <c r="R65" s="109"/>
    </row>
    <row r="66" spans="2:18" ht="19.5" customHeight="1" x14ac:dyDescent="0.4">
      <c r="B66" s="193"/>
      <c r="C66" s="193"/>
      <c r="D66" s="14" t="s">
        <v>175</v>
      </c>
      <c r="E66" s="10" t="s">
        <v>21</v>
      </c>
      <c r="F66" s="200" t="s">
        <v>24</v>
      </c>
      <c r="G66" s="201"/>
      <c r="H66" s="23">
        <v>58</v>
      </c>
      <c r="I66" s="16" t="s">
        <v>181</v>
      </c>
      <c r="K66" s="27"/>
      <c r="L66" s="27"/>
      <c r="O66" s="4"/>
      <c r="P66" s="4"/>
      <c r="Q66" s="4"/>
      <c r="R66" s="4"/>
    </row>
    <row r="67" spans="2:18" x14ac:dyDescent="0.4">
      <c r="B67" s="193"/>
      <c r="C67" s="190"/>
      <c r="D67" s="10" t="s">
        <v>5</v>
      </c>
      <c r="E67" s="10" t="s">
        <v>21</v>
      </c>
      <c r="F67" s="200" t="s">
        <v>23</v>
      </c>
      <c r="G67" s="201"/>
      <c r="H67" s="23">
        <f>H46+H53+H56-H58+H60+H62+H64+H65+H66</f>
        <v>211.84962200000001</v>
      </c>
      <c r="I67" s="91" t="s">
        <v>182</v>
      </c>
      <c r="K67" s="111"/>
      <c r="L67" s="109"/>
      <c r="O67" s="4"/>
      <c r="P67" s="4"/>
      <c r="Q67" s="4"/>
      <c r="R67" s="4"/>
    </row>
    <row r="68" spans="2:18" s="144" customFormat="1" ht="56.25" x14ac:dyDescent="0.4">
      <c r="B68" s="193"/>
      <c r="C68" s="128"/>
      <c r="D68" s="123" t="s">
        <v>91</v>
      </c>
      <c r="E68" s="137" t="s">
        <v>21</v>
      </c>
      <c r="F68" s="214" t="s">
        <v>92</v>
      </c>
      <c r="G68" s="215"/>
      <c r="H68" s="23">
        <f>H44*(0.15*0.4+0.04)</f>
        <v>38.850600000000007</v>
      </c>
      <c r="I68" s="24" t="s">
        <v>187</v>
      </c>
      <c r="O68" s="149"/>
      <c r="P68" s="149"/>
      <c r="Q68" s="27"/>
      <c r="R68" s="27"/>
    </row>
    <row r="69" spans="2:18" ht="19.5" customHeight="1" x14ac:dyDescent="0.4">
      <c r="B69" s="190"/>
      <c r="C69" s="293" t="s">
        <v>51</v>
      </c>
      <c r="D69" s="293"/>
      <c r="E69" s="10" t="s">
        <v>21</v>
      </c>
      <c r="F69" s="200" t="s">
        <v>23</v>
      </c>
      <c r="G69" s="201"/>
      <c r="H69" s="58">
        <f>H44+H67+H68</f>
        <v>639.20622200000003</v>
      </c>
      <c r="I69" s="13" t="s">
        <v>188</v>
      </c>
      <c r="K69" s="27"/>
      <c r="L69" s="27"/>
    </row>
    <row r="70" spans="2:18" ht="39" customHeight="1" x14ac:dyDescent="0.4">
      <c r="B70" s="208" t="s">
        <v>39</v>
      </c>
      <c r="C70" s="284"/>
      <c r="D70" s="292"/>
      <c r="E70" s="20" t="s">
        <v>35</v>
      </c>
      <c r="F70" s="200" t="s">
        <v>23</v>
      </c>
      <c r="G70" s="201"/>
      <c r="H70" s="156">
        <f>1-H69/H37</f>
        <v>0.34390863497482282</v>
      </c>
      <c r="I70" s="16" t="s">
        <v>37</v>
      </c>
      <c r="K70" s="27"/>
      <c r="L70" s="27"/>
    </row>
    <row r="71" spans="2:18" s="35" customFormat="1" ht="19.5" customHeight="1" x14ac:dyDescent="0.4">
      <c r="K71" s="26"/>
      <c r="L71" s="26"/>
    </row>
    <row r="72" spans="2:18" ht="33" x14ac:dyDescent="0.4">
      <c r="B72" s="17" t="s">
        <v>189</v>
      </c>
    </row>
    <row r="73" spans="2:18" ht="19.5" customHeight="1" x14ac:dyDescent="0.4">
      <c r="B73" s="211" t="s">
        <v>10</v>
      </c>
      <c r="C73" s="211"/>
      <c r="D73" s="211"/>
      <c r="E73" s="10" t="s">
        <v>13</v>
      </c>
      <c r="F73" s="200" t="s">
        <v>26</v>
      </c>
      <c r="G73" s="201"/>
      <c r="H73" s="112" t="s">
        <v>12</v>
      </c>
      <c r="I73" s="19" t="s">
        <v>34</v>
      </c>
      <c r="J73" s="26"/>
    </row>
    <row r="74" spans="2:18" s="144" customFormat="1" ht="19.5" customHeight="1" x14ac:dyDescent="0.4">
      <c r="B74" s="145" t="s">
        <v>0</v>
      </c>
      <c r="C74" s="146"/>
      <c r="D74" s="133" t="s">
        <v>186</v>
      </c>
      <c r="E74" s="137" t="s">
        <v>20</v>
      </c>
      <c r="F74" s="200" t="s">
        <v>23</v>
      </c>
      <c r="G74" s="201"/>
      <c r="H74" s="152">
        <f>H23</f>
        <v>5583.388809453756</v>
      </c>
      <c r="I74" s="22" t="s">
        <v>194</v>
      </c>
    </row>
    <row r="75" spans="2:18" s="144" customFormat="1" ht="19.5" customHeight="1" x14ac:dyDescent="0.4">
      <c r="B75" s="145" t="s">
        <v>3</v>
      </c>
      <c r="C75" s="146"/>
      <c r="D75" s="146" t="s">
        <v>186</v>
      </c>
      <c r="E75" s="137" t="s">
        <v>20</v>
      </c>
      <c r="F75" s="200" t="s">
        <v>192</v>
      </c>
      <c r="G75" s="201"/>
      <c r="H75" s="152">
        <f>H38/(L24*(1+L24)^L28)*((1+L24)^L28-1)+H39/(L24*(1+L24)^L30)*((1+L24)^L30-1)+H40/(L24*(1+L24)^L31)*((1+L24)^L31-1)+H41/(L24*(1+L24)^L29)*((1+L24)^L29-1)+H42/(L24*(1+L24)^L31)*((1+L24)^L31-1)+H43/(L24*(1+L24)^L27)*((1+L24)^L27-1)</f>
        <v>4002.2016434966654</v>
      </c>
      <c r="I75" s="16" t="s">
        <v>195</v>
      </c>
    </row>
    <row r="76" spans="2:18" s="144" customFormat="1" ht="39" customHeight="1" x14ac:dyDescent="0.4">
      <c r="B76" s="208" t="s">
        <v>193</v>
      </c>
      <c r="C76" s="209"/>
      <c r="D76" s="210"/>
      <c r="E76" s="34" t="s">
        <v>35</v>
      </c>
      <c r="F76" s="200" t="s">
        <v>23</v>
      </c>
      <c r="G76" s="201"/>
      <c r="H76" s="157">
        <f>1-H75/H74</f>
        <v>0.28319488753493849</v>
      </c>
      <c r="I76" s="16" t="s">
        <v>37</v>
      </c>
    </row>
    <row r="77" spans="2:18" s="144" customFormat="1" ht="19.5" customHeight="1" x14ac:dyDescent="0.4">
      <c r="B77" s="145" t="s">
        <v>0</v>
      </c>
      <c r="C77" s="146"/>
      <c r="D77" s="133" t="s">
        <v>190</v>
      </c>
      <c r="E77" s="137" t="s">
        <v>21</v>
      </c>
      <c r="F77" s="200" t="s">
        <v>23</v>
      </c>
      <c r="G77" s="201"/>
      <c r="H77" s="152">
        <f>H35</f>
        <v>425.64143002450703</v>
      </c>
      <c r="I77" s="16" t="s">
        <v>197</v>
      </c>
    </row>
    <row r="78" spans="2:18" s="113" customFormat="1" ht="19.5" customHeight="1" x14ac:dyDescent="0.4">
      <c r="B78" s="145" t="s">
        <v>3</v>
      </c>
      <c r="C78" s="146"/>
      <c r="D78" s="133" t="s">
        <v>190</v>
      </c>
      <c r="E78" s="137" t="s">
        <v>21</v>
      </c>
      <c r="F78" s="200" t="s">
        <v>23</v>
      </c>
      <c r="G78" s="201"/>
      <c r="H78" s="152">
        <f>H67</f>
        <v>211.84962200000001</v>
      </c>
      <c r="I78" s="16" t="s">
        <v>191</v>
      </c>
    </row>
    <row r="79" spans="2:18" s="144" customFormat="1" ht="39" customHeight="1" x14ac:dyDescent="0.4">
      <c r="B79" s="208" t="s">
        <v>196</v>
      </c>
      <c r="C79" s="209"/>
      <c r="D79" s="210"/>
      <c r="E79" s="34" t="s">
        <v>35</v>
      </c>
      <c r="F79" s="200" t="s">
        <v>23</v>
      </c>
      <c r="G79" s="201"/>
      <c r="H79" s="157">
        <f>1-H78/H77</f>
        <v>0.50228148141546658</v>
      </c>
      <c r="I79" s="16" t="s">
        <v>198</v>
      </c>
      <c r="K79" s="111"/>
      <c r="L79" s="149"/>
    </row>
    <row r="80" spans="2:18" ht="19.5" customHeight="1" x14ac:dyDescent="0.4">
      <c r="K80" s="151"/>
      <c r="L80" s="149"/>
    </row>
    <row r="81" spans="2:14" ht="33" x14ac:dyDescent="0.4">
      <c r="B81" s="17" t="s">
        <v>14</v>
      </c>
      <c r="K81" s="8"/>
      <c r="L81" s="8"/>
    </row>
    <row r="82" spans="2:14" ht="19.5" customHeight="1" x14ac:dyDescent="0.4">
      <c r="B82" s="211" t="s">
        <v>10</v>
      </c>
      <c r="C82" s="211"/>
      <c r="D82" s="211"/>
      <c r="E82" s="10" t="s">
        <v>13</v>
      </c>
      <c r="F82" s="200" t="s">
        <v>26</v>
      </c>
      <c r="G82" s="201"/>
      <c r="H82" s="9" t="s">
        <v>31</v>
      </c>
      <c r="I82" s="10" t="s">
        <v>25</v>
      </c>
      <c r="K82" s="132" t="s">
        <v>210</v>
      </c>
      <c r="L82" s="123"/>
    </row>
    <row r="83" spans="2:14" s="144" customFormat="1" ht="19.5" customHeight="1" x14ac:dyDescent="0.4">
      <c r="B83" s="189" t="s">
        <v>185</v>
      </c>
      <c r="C83" s="189" t="s">
        <v>66</v>
      </c>
      <c r="D83" s="194" t="s">
        <v>15</v>
      </c>
      <c r="E83" s="257" t="s">
        <v>131</v>
      </c>
      <c r="F83" s="276" t="s">
        <v>204</v>
      </c>
      <c r="G83" s="196"/>
      <c r="H83" s="299">
        <f>22*D3*G3*G5*10^-3</f>
        <v>650.43000000000006</v>
      </c>
      <c r="I83" s="309" t="s">
        <v>203</v>
      </c>
      <c r="K83" s="129" t="s">
        <v>211</v>
      </c>
      <c r="L83" s="235">
        <v>9.5</v>
      </c>
    </row>
    <row r="84" spans="2:14" s="144" customFormat="1" ht="19.5" customHeight="1" x14ac:dyDescent="0.4">
      <c r="B84" s="193"/>
      <c r="C84" s="190"/>
      <c r="D84" s="199"/>
      <c r="E84" s="258"/>
      <c r="F84" s="311"/>
      <c r="G84" s="312"/>
      <c r="H84" s="258"/>
      <c r="I84" s="207"/>
      <c r="K84" s="127" t="s">
        <v>212</v>
      </c>
      <c r="L84" s="211"/>
    </row>
    <row r="85" spans="2:14" ht="19.5" customHeight="1" x14ac:dyDescent="0.4">
      <c r="B85" s="193"/>
      <c r="C85" s="189" t="s">
        <v>7</v>
      </c>
      <c r="D85" s="194" t="s">
        <v>15</v>
      </c>
      <c r="E85" s="257" t="s">
        <v>131</v>
      </c>
      <c r="F85" s="276" t="s">
        <v>305</v>
      </c>
      <c r="G85" s="277"/>
      <c r="H85" s="299">
        <f>(1.12*D3+266)*G3*24*G5*10^-3</f>
        <v>2682.1368000000002</v>
      </c>
      <c r="I85" s="307" t="s">
        <v>306</v>
      </c>
      <c r="K85" s="167" t="s">
        <v>213</v>
      </c>
      <c r="L85" s="211">
        <v>39.1</v>
      </c>
    </row>
    <row r="86" spans="2:14" s="144" customFormat="1" ht="19.5" customHeight="1" x14ac:dyDescent="0.4">
      <c r="B86" s="193"/>
      <c r="C86" s="190"/>
      <c r="D86" s="199"/>
      <c r="E86" s="258"/>
      <c r="F86" s="278"/>
      <c r="G86" s="279"/>
      <c r="H86" s="258"/>
      <c r="I86" s="310"/>
      <c r="K86" s="127" t="s">
        <v>214</v>
      </c>
      <c r="L86" s="211"/>
    </row>
    <row r="87" spans="2:14" s="144" customFormat="1" x14ac:dyDescent="0.4">
      <c r="B87" s="193"/>
      <c r="C87" s="164"/>
      <c r="D87" s="191" t="s">
        <v>206</v>
      </c>
      <c r="E87" s="137" t="s">
        <v>207</v>
      </c>
      <c r="F87" s="259" t="s">
        <v>23</v>
      </c>
      <c r="G87" s="260"/>
      <c r="H87" s="163">
        <f>H83+H85</f>
        <v>3332.5668000000005</v>
      </c>
      <c r="I87" s="153" t="s">
        <v>208</v>
      </c>
      <c r="K87" s="111"/>
      <c r="L87" s="149"/>
    </row>
    <row r="88" spans="2:14" s="144" customFormat="1" ht="20.25" customHeight="1" x14ac:dyDescent="0.4">
      <c r="B88" s="193"/>
      <c r="C88" s="138"/>
      <c r="D88" s="192"/>
      <c r="E88" s="130" t="s">
        <v>209</v>
      </c>
      <c r="F88" s="300" t="s">
        <v>215</v>
      </c>
      <c r="G88" s="302"/>
      <c r="H88" s="165">
        <f>H87*L83</f>
        <v>31659.384600000005</v>
      </c>
      <c r="I88" s="166" t="s">
        <v>217</v>
      </c>
      <c r="K88" s="111"/>
      <c r="L88" s="149"/>
    </row>
    <row r="89" spans="2:14" s="25" customFormat="1" x14ac:dyDescent="0.4">
      <c r="B89" s="193"/>
      <c r="C89" s="189" t="s">
        <v>7</v>
      </c>
      <c r="D89" s="194" t="s">
        <v>226</v>
      </c>
      <c r="E89" s="257" t="s">
        <v>209</v>
      </c>
      <c r="F89" s="276" t="s">
        <v>216</v>
      </c>
      <c r="G89" s="277"/>
      <c r="H89" s="299">
        <f>H85*L83*20467/26778</f>
        <v>19475.139738337442</v>
      </c>
      <c r="I89" s="307" t="s">
        <v>260</v>
      </c>
      <c r="K89" s="111"/>
      <c r="L89" s="149"/>
      <c r="M89" s="26"/>
      <c r="N89" s="26"/>
    </row>
    <row r="90" spans="2:14" s="144" customFormat="1" x14ac:dyDescent="0.4">
      <c r="B90" s="193"/>
      <c r="C90" s="190"/>
      <c r="D90" s="199"/>
      <c r="E90" s="258"/>
      <c r="F90" s="278"/>
      <c r="G90" s="279"/>
      <c r="H90" s="258"/>
      <c r="I90" s="308"/>
      <c r="K90" s="111"/>
      <c r="L90" s="149"/>
    </row>
    <row r="91" spans="2:14" s="25" customFormat="1" ht="19.5" customHeight="1" x14ac:dyDescent="0.4">
      <c r="B91" s="190"/>
      <c r="C91" s="161"/>
      <c r="D91" s="160" t="s">
        <v>219</v>
      </c>
      <c r="E91" s="130" t="s">
        <v>209</v>
      </c>
      <c r="F91" s="259" t="s">
        <v>23</v>
      </c>
      <c r="G91" s="260"/>
      <c r="H91" s="32">
        <f>H88+H89</f>
        <v>51134.524338337447</v>
      </c>
      <c r="I91" s="33" t="s">
        <v>218</v>
      </c>
      <c r="K91" s="151"/>
      <c r="L91" s="149"/>
      <c r="M91" s="26"/>
      <c r="N91" s="26"/>
    </row>
    <row r="92" spans="2:14" s="144" customFormat="1" ht="19.5" customHeight="1" x14ac:dyDescent="0.4">
      <c r="B92" s="189" t="s">
        <v>3</v>
      </c>
      <c r="C92" s="124" t="s">
        <v>66</v>
      </c>
      <c r="D92" s="140" t="s">
        <v>15</v>
      </c>
      <c r="E92" s="31" t="s">
        <v>131</v>
      </c>
      <c r="F92" s="276" t="str">
        <f>F45</f>
        <v>Y= 20.39×XD－18.17</v>
      </c>
      <c r="G92" s="203"/>
      <c r="H92" s="135">
        <f>H45</f>
        <v>471.19</v>
      </c>
      <c r="I92" s="16" t="s">
        <v>220</v>
      </c>
    </row>
    <row r="93" spans="2:14" s="144" customFormat="1" ht="19.5" customHeight="1" x14ac:dyDescent="0.4">
      <c r="B93" s="193"/>
      <c r="C93" s="189" t="s">
        <v>205</v>
      </c>
      <c r="D93" s="194" t="s">
        <v>15</v>
      </c>
      <c r="E93" s="257" t="s">
        <v>131</v>
      </c>
      <c r="F93" s="202" t="str">
        <f>F54</f>
        <v>Y=39.39×XD+222.84</v>
      </c>
      <c r="G93" s="203"/>
      <c r="H93" s="297">
        <f>H54</f>
        <v>1168.2</v>
      </c>
      <c r="I93" s="225" t="s">
        <v>221</v>
      </c>
      <c r="K93" s="151"/>
      <c r="L93" s="149"/>
    </row>
    <row r="94" spans="2:14" s="144" customFormat="1" ht="19.5" customHeight="1" x14ac:dyDescent="0.4">
      <c r="B94" s="193"/>
      <c r="C94" s="190"/>
      <c r="D94" s="190"/>
      <c r="E94" s="235"/>
      <c r="F94" s="204"/>
      <c r="G94" s="205"/>
      <c r="H94" s="235"/>
      <c r="I94" s="226"/>
      <c r="K94" s="151"/>
      <c r="L94" s="149"/>
    </row>
    <row r="95" spans="2:14" s="144" customFormat="1" x14ac:dyDescent="0.4">
      <c r="B95" s="193"/>
      <c r="C95" s="164"/>
      <c r="D95" s="191" t="s">
        <v>206</v>
      </c>
      <c r="E95" s="137" t="s">
        <v>207</v>
      </c>
      <c r="F95" s="259" t="s">
        <v>23</v>
      </c>
      <c r="G95" s="260"/>
      <c r="H95" s="163">
        <f>H92+H93</f>
        <v>1639.39</v>
      </c>
      <c r="I95" s="153" t="s">
        <v>222</v>
      </c>
      <c r="K95" s="111"/>
      <c r="L95" s="149"/>
    </row>
    <row r="96" spans="2:14" s="144" customFormat="1" x14ac:dyDescent="0.4">
      <c r="B96" s="193"/>
      <c r="C96" s="139"/>
      <c r="D96" s="192"/>
      <c r="E96" s="130" t="s">
        <v>209</v>
      </c>
      <c r="F96" s="300" t="str">
        <f>F88</f>
        <v>Y=消費電力合計(MWh/年)×エネルギー消費原単位(MJ/kWh)</v>
      </c>
      <c r="G96" s="301"/>
      <c r="H96" s="163">
        <f>H95*L83</f>
        <v>15574.205000000002</v>
      </c>
      <c r="I96" s="153" t="s">
        <v>224</v>
      </c>
      <c r="K96" s="111"/>
      <c r="L96" s="149"/>
    </row>
    <row r="97" spans="2:16" s="144" customFormat="1" ht="19.5" customHeight="1" x14ac:dyDescent="0.4">
      <c r="B97" s="193"/>
      <c r="C97" s="189" t="s">
        <v>205</v>
      </c>
      <c r="D97" s="194" t="s">
        <v>223</v>
      </c>
      <c r="E97" s="131" t="s">
        <v>154</v>
      </c>
      <c r="F97" s="305" t="str">
        <f>F59</f>
        <v>Y=0.098×XD</v>
      </c>
      <c r="G97" s="306"/>
      <c r="H97" s="169">
        <f>H59</f>
        <v>2.3520000000000003</v>
      </c>
      <c r="I97" s="170" t="s">
        <v>225</v>
      </c>
    </row>
    <row r="98" spans="2:16" s="144" customFormat="1" ht="19.5" customHeight="1" x14ac:dyDescent="0.4">
      <c r="B98" s="193"/>
      <c r="C98" s="190"/>
      <c r="D98" s="190"/>
      <c r="E98" s="137" t="s">
        <v>209</v>
      </c>
      <c r="F98" s="300" t="s">
        <v>227</v>
      </c>
      <c r="G98" s="301"/>
      <c r="H98" s="118">
        <f>H97*L85</f>
        <v>91.963200000000015</v>
      </c>
      <c r="I98" s="168" t="s">
        <v>197</v>
      </c>
    </row>
    <row r="99" spans="2:16" s="144" customFormat="1" ht="19.5" customHeight="1" x14ac:dyDescent="0.4">
      <c r="B99" s="193"/>
      <c r="C99" s="161"/>
      <c r="D99" s="134" t="s">
        <v>219</v>
      </c>
      <c r="E99" s="127" t="s">
        <v>209</v>
      </c>
      <c r="F99" s="259" t="s">
        <v>23</v>
      </c>
      <c r="G99" s="260"/>
      <c r="H99" s="32">
        <f>H96+H98</f>
        <v>15666.168200000002</v>
      </c>
      <c r="I99" s="33" t="s">
        <v>228</v>
      </c>
      <c r="K99" s="151"/>
      <c r="L99" s="149"/>
    </row>
    <row r="100" spans="2:16" s="144" customFormat="1" ht="19.5" customHeight="1" x14ac:dyDescent="0.4">
      <c r="B100" s="193"/>
      <c r="C100" s="189" t="s">
        <v>205</v>
      </c>
      <c r="D100" s="194" t="s">
        <v>231</v>
      </c>
      <c r="E100" s="137" t="s">
        <v>207</v>
      </c>
      <c r="F100" s="259" t="str">
        <f>F57</f>
        <v>Y=112.07×XD-217.98</v>
      </c>
      <c r="G100" s="260"/>
      <c r="H100" s="32">
        <f>H57</f>
        <v>2471.6999999999998</v>
      </c>
      <c r="I100" s="170" t="s">
        <v>229</v>
      </c>
      <c r="K100" s="151"/>
      <c r="L100" s="149"/>
    </row>
    <row r="101" spans="2:16" s="144" customFormat="1" x14ac:dyDescent="0.4">
      <c r="B101" s="193"/>
      <c r="C101" s="190"/>
      <c r="D101" s="190"/>
      <c r="E101" s="137" t="s">
        <v>209</v>
      </c>
      <c r="F101" s="300" t="s">
        <v>230</v>
      </c>
      <c r="G101" s="302"/>
      <c r="H101" s="163">
        <f>H100*L83</f>
        <v>23481.149999999998</v>
      </c>
      <c r="I101" s="153" t="s">
        <v>234</v>
      </c>
      <c r="K101" s="111"/>
      <c r="L101" s="149"/>
    </row>
    <row r="102" spans="2:16" s="144" customFormat="1" x14ac:dyDescent="0.4">
      <c r="B102" s="193"/>
      <c r="C102" s="195" t="s">
        <v>232</v>
      </c>
      <c r="D102" s="196"/>
      <c r="E102" s="250" t="s">
        <v>209</v>
      </c>
      <c r="F102" s="303"/>
      <c r="G102" s="304"/>
      <c r="H102" s="299">
        <f>H99-H101</f>
        <v>-7814.9817999999959</v>
      </c>
      <c r="I102" s="171" t="s">
        <v>235</v>
      </c>
    </row>
    <row r="103" spans="2:16" s="144" customFormat="1" x14ac:dyDescent="0.4">
      <c r="B103" s="190"/>
      <c r="C103" s="197"/>
      <c r="D103" s="198"/>
      <c r="E103" s="235"/>
      <c r="F103" s="125"/>
      <c r="G103" s="126"/>
      <c r="H103" s="235"/>
      <c r="I103" s="172" t="s">
        <v>233</v>
      </c>
    </row>
    <row r="104" spans="2:16" ht="39" customHeight="1" x14ac:dyDescent="0.4">
      <c r="B104" s="285" t="s">
        <v>14</v>
      </c>
      <c r="C104" s="286"/>
      <c r="D104" s="287"/>
      <c r="E104" s="137" t="s">
        <v>237</v>
      </c>
      <c r="F104" s="259" t="s">
        <v>36</v>
      </c>
      <c r="G104" s="260"/>
      <c r="H104" s="173">
        <f>(1-H102/H91)</f>
        <v>1.1528318078856326</v>
      </c>
      <c r="I104" s="33" t="s">
        <v>236</v>
      </c>
      <c r="P104" s="1" t="s">
        <v>60</v>
      </c>
    </row>
    <row r="105" spans="2:16" ht="19.5" customHeight="1" x14ac:dyDescent="0.4"/>
    <row r="106" spans="2:16" ht="33" customHeight="1" x14ac:dyDescent="0.4">
      <c r="B106" s="17" t="s">
        <v>16</v>
      </c>
      <c r="K106" s="174"/>
      <c r="L106" s="175"/>
    </row>
    <row r="107" spans="2:16" ht="19.5" customHeight="1" x14ac:dyDescent="0.4">
      <c r="B107" s="211" t="s">
        <v>10</v>
      </c>
      <c r="C107" s="211"/>
      <c r="D107" s="211"/>
      <c r="E107" s="10" t="s">
        <v>13</v>
      </c>
      <c r="F107" s="200" t="s">
        <v>26</v>
      </c>
      <c r="G107" s="201"/>
      <c r="H107" s="9" t="s">
        <v>17</v>
      </c>
      <c r="I107" s="10" t="s">
        <v>8</v>
      </c>
      <c r="K107" s="132" t="s">
        <v>238</v>
      </c>
      <c r="L107" s="123"/>
    </row>
    <row r="108" spans="2:16" ht="19.5" customHeight="1" x14ac:dyDescent="0.4">
      <c r="B108" s="189" t="s">
        <v>185</v>
      </c>
      <c r="C108" s="189" t="s">
        <v>66</v>
      </c>
      <c r="D108" s="141" t="s">
        <v>18</v>
      </c>
      <c r="E108" s="15" t="s">
        <v>30</v>
      </c>
      <c r="F108" s="200" t="s">
        <v>246</v>
      </c>
      <c r="G108" s="201"/>
      <c r="H108" s="2">
        <f>H83*L108</f>
        <v>357.73650000000009</v>
      </c>
      <c r="I108" s="16" t="s">
        <v>27</v>
      </c>
      <c r="K108" s="129" t="s">
        <v>211</v>
      </c>
      <c r="L108" s="313">
        <v>0.55000000000000004</v>
      </c>
    </row>
    <row r="109" spans="2:16" s="25" customFormat="1" ht="19.5" customHeight="1" x14ac:dyDescent="0.4">
      <c r="B109" s="193"/>
      <c r="C109" s="193"/>
      <c r="D109" s="194" t="s">
        <v>247</v>
      </c>
      <c r="E109" s="142" t="s">
        <v>57</v>
      </c>
      <c r="F109" s="282" t="s">
        <v>251</v>
      </c>
      <c r="G109" s="283"/>
      <c r="H109" s="299">
        <f>0.005*D5*G3*G5*L112</f>
        <v>230.607</v>
      </c>
      <c r="I109" s="140" t="s">
        <v>253</v>
      </c>
      <c r="K109" s="127" t="s">
        <v>239</v>
      </c>
      <c r="L109" s="314"/>
      <c r="M109" s="26"/>
      <c r="N109" s="26"/>
    </row>
    <row r="110" spans="2:16" s="29" customFormat="1" ht="19.5" customHeight="1" x14ac:dyDescent="0.4">
      <c r="B110" s="193"/>
      <c r="C110" s="190"/>
      <c r="D110" s="190"/>
      <c r="E110" s="143"/>
      <c r="F110" s="278" t="s">
        <v>252</v>
      </c>
      <c r="G110" s="264"/>
      <c r="H110" s="235"/>
      <c r="I110" s="141" t="s">
        <v>259</v>
      </c>
      <c r="K110" s="167" t="s">
        <v>213</v>
      </c>
      <c r="L110" s="250">
        <v>2.71</v>
      </c>
    </row>
    <row r="111" spans="2:16" s="144" customFormat="1" ht="19.5" customHeight="1" x14ac:dyDescent="0.4">
      <c r="B111" s="193"/>
      <c r="C111" s="189" t="s">
        <v>254</v>
      </c>
      <c r="D111" s="141" t="s">
        <v>18</v>
      </c>
      <c r="E111" s="143" t="s">
        <v>57</v>
      </c>
      <c r="F111" s="200" t="s">
        <v>246</v>
      </c>
      <c r="G111" s="201"/>
      <c r="H111" s="178">
        <f>H85*L108</f>
        <v>1475.1752400000003</v>
      </c>
      <c r="I111" s="33" t="s">
        <v>29</v>
      </c>
      <c r="K111" s="127" t="s">
        <v>240</v>
      </c>
      <c r="L111" s="235"/>
    </row>
    <row r="112" spans="2:16" ht="19.5" customHeight="1" x14ac:dyDescent="0.4">
      <c r="B112" s="193"/>
      <c r="C112" s="193"/>
      <c r="D112" s="194" t="s">
        <v>255</v>
      </c>
      <c r="E112" s="142" t="s">
        <v>57</v>
      </c>
      <c r="F112" s="315" t="s">
        <v>256</v>
      </c>
      <c r="G112" s="316"/>
      <c r="H112" s="299">
        <f>H89/L85*L110</f>
        <v>1349.8114754704468</v>
      </c>
      <c r="I112" s="309" t="s">
        <v>28</v>
      </c>
      <c r="K112" s="167" t="s">
        <v>202</v>
      </c>
      <c r="L112" s="211">
        <v>6.5</v>
      </c>
    </row>
    <row r="113" spans="2:18" s="26" customFormat="1" ht="19.5" customHeight="1" x14ac:dyDescent="0.4">
      <c r="B113" s="193"/>
      <c r="C113" s="193"/>
      <c r="D113" s="190"/>
      <c r="E113" s="143"/>
      <c r="F113" s="204" t="s">
        <v>257</v>
      </c>
      <c r="G113" s="205"/>
      <c r="H113" s="235"/>
      <c r="I113" s="207"/>
      <c r="K113" s="127" t="s">
        <v>248</v>
      </c>
      <c r="L113" s="211"/>
    </row>
    <row r="114" spans="2:18" ht="19.5" customHeight="1" x14ac:dyDescent="0.4">
      <c r="B114" s="193"/>
      <c r="C114" s="193"/>
      <c r="D114" s="194" t="s">
        <v>258</v>
      </c>
      <c r="E114" s="142" t="s">
        <v>57</v>
      </c>
      <c r="F114" s="288" t="s">
        <v>284</v>
      </c>
      <c r="G114" s="289"/>
      <c r="H114" s="299">
        <f>814/100*D3*L116*0.24</f>
        <v>183.24767999999997</v>
      </c>
      <c r="I114" s="162" t="s">
        <v>266</v>
      </c>
      <c r="K114" s="167" t="s">
        <v>241</v>
      </c>
      <c r="L114" s="211">
        <v>3.0800000000000001E-2</v>
      </c>
    </row>
    <row r="115" spans="2:18" ht="19.5" customHeight="1" x14ac:dyDescent="0.4">
      <c r="B115" s="193"/>
      <c r="C115" s="190"/>
      <c r="D115" s="190"/>
      <c r="E115" s="143"/>
      <c r="F115" s="290"/>
      <c r="G115" s="291"/>
      <c r="H115" s="235"/>
      <c r="I115" s="159" t="s">
        <v>265</v>
      </c>
      <c r="K115" s="127" t="s">
        <v>249</v>
      </c>
      <c r="L115" s="211"/>
    </row>
    <row r="116" spans="2:18" ht="19.5" customHeight="1" x14ac:dyDescent="0.4">
      <c r="B116" s="193"/>
      <c r="C116" s="132"/>
      <c r="D116" s="181" t="s">
        <v>261</v>
      </c>
      <c r="E116" s="142" t="s">
        <v>57</v>
      </c>
      <c r="F116" s="259" t="s">
        <v>23</v>
      </c>
      <c r="G116" s="260"/>
      <c r="H116" s="178">
        <f>H108+H109+H111+H112+H114</f>
        <v>3596.5778954704469</v>
      </c>
      <c r="I116" s="33" t="s">
        <v>267</v>
      </c>
      <c r="K116" s="167" t="s">
        <v>242</v>
      </c>
      <c r="L116" s="211">
        <v>0.93799999999999994</v>
      </c>
    </row>
    <row r="117" spans="2:18" s="25" customFormat="1" ht="19.5" customHeight="1" x14ac:dyDescent="0.4">
      <c r="B117" s="193"/>
      <c r="C117" s="132"/>
      <c r="D117" s="181" t="s">
        <v>262</v>
      </c>
      <c r="E117" s="142" t="s">
        <v>57</v>
      </c>
      <c r="F117" s="259" t="s">
        <v>264</v>
      </c>
      <c r="G117" s="260"/>
      <c r="H117" s="178">
        <f>H116/80.2*19.3</f>
        <v>865.51064068054404</v>
      </c>
      <c r="I117" s="33" t="s">
        <v>268</v>
      </c>
      <c r="K117" s="127" t="s">
        <v>250</v>
      </c>
      <c r="L117" s="211"/>
      <c r="M117" s="26"/>
      <c r="N117" s="26"/>
    </row>
    <row r="118" spans="2:18" s="29" customFormat="1" ht="19.5" customHeight="1" x14ac:dyDescent="0.4">
      <c r="B118" s="193"/>
      <c r="C118" s="145"/>
      <c r="D118" s="181" t="s">
        <v>263</v>
      </c>
      <c r="E118" s="142" t="s">
        <v>57</v>
      </c>
      <c r="F118" s="259" t="s">
        <v>270</v>
      </c>
      <c r="G118" s="260"/>
      <c r="H118" s="182">
        <f>H116/80.2*0.5</f>
        <v>22.422555458045181</v>
      </c>
      <c r="I118" s="33" t="s">
        <v>269</v>
      </c>
      <c r="K118" s="176" t="s">
        <v>243</v>
      </c>
      <c r="L118" s="26"/>
    </row>
    <row r="119" spans="2:18" ht="19.5" customHeight="1" x14ac:dyDescent="0.4">
      <c r="B119" s="193"/>
      <c r="C119" s="189" t="s">
        <v>254</v>
      </c>
      <c r="D119" s="194" t="s">
        <v>58</v>
      </c>
      <c r="E119" s="255" t="s">
        <v>59</v>
      </c>
      <c r="F119" s="202" t="s">
        <v>271</v>
      </c>
      <c r="G119" s="203"/>
      <c r="H119" s="253">
        <f>0.000645*D3*G3*G5</f>
        <v>19.069424999999999</v>
      </c>
      <c r="I119" s="194" t="s">
        <v>272</v>
      </c>
      <c r="K119" s="177" t="s">
        <v>244</v>
      </c>
    </row>
    <row r="120" spans="2:18" s="26" customFormat="1" ht="19.5" customHeight="1" x14ac:dyDescent="0.4">
      <c r="B120" s="193"/>
      <c r="C120" s="193"/>
      <c r="D120" s="252"/>
      <c r="E120" s="256"/>
      <c r="F120" s="204"/>
      <c r="G120" s="205"/>
      <c r="H120" s="254"/>
      <c r="I120" s="199"/>
      <c r="K120" s="177" t="s">
        <v>245</v>
      </c>
    </row>
    <row r="121" spans="2:18" ht="19.5" customHeight="1" x14ac:dyDescent="0.4">
      <c r="B121" s="193"/>
      <c r="C121" s="190"/>
      <c r="D121" s="199"/>
      <c r="E121" s="53" t="s">
        <v>57</v>
      </c>
      <c r="F121" s="200" t="s">
        <v>48</v>
      </c>
      <c r="G121" s="201"/>
      <c r="H121" s="32">
        <f>H119*298</f>
        <v>5682.6886500000001</v>
      </c>
      <c r="I121" s="33" t="s">
        <v>273</v>
      </c>
      <c r="O121" s="251"/>
      <c r="P121" s="251"/>
      <c r="Q121" s="5"/>
      <c r="R121" s="6"/>
    </row>
    <row r="122" spans="2:18" ht="19.5" customHeight="1" x14ac:dyDescent="0.4">
      <c r="B122" s="190"/>
      <c r="C122" s="132"/>
      <c r="D122" s="134" t="s">
        <v>1</v>
      </c>
      <c r="E122" s="53" t="s">
        <v>57</v>
      </c>
      <c r="F122" s="200" t="s">
        <v>38</v>
      </c>
      <c r="G122" s="201"/>
      <c r="H122" s="32">
        <f>H116+H117+H118+H121</f>
        <v>10167.199741609036</v>
      </c>
      <c r="I122" s="33" t="s">
        <v>274</v>
      </c>
      <c r="O122" s="1"/>
    </row>
    <row r="123" spans="2:18" ht="19.5" customHeight="1" x14ac:dyDescent="0.4">
      <c r="B123" s="145" t="s">
        <v>275</v>
      </c>
      <c r="C123" s="189" t="s">
        <v>66</v>
      </c>
      <c r="D123" s="141" t="s">
        <v>18</v>
      </c>
      <c r="E123" s="15" t="s">
        <v>30</v>
      </c>
      <c r="F123" s="200" t="s">
        <v>246</v>
      </c>
      <c r="G123" s="201"/>
      <c r="H123" s="32">
        <f>H92*L108</f>
        <v>259.15450000000004</v>
      </c>
      <c r="I123" s="33" t="s">
        <v>286</v>
      </c>
      <c r="Q123" s="3"/>
      <c r="R123" s="1"/>
    </row>
    <row r="124" spans="2:18" ht="20.25" x14ac:dyDescent="0.4">
      <c r="B124" s="147"/>
      <c r="C124" s="193"/>
      <c r="D124" s="194" t="s">
        <v>247</v>
      </c>
      <c r="E124" s="142" t="s">
        <v>57</v>
      </c>
      <c r="F124" s="282" t="s">
        <v>277</v>
      </c>
      <c r="G124" s="283"/>
      <c r="H124" s="299">
        <f>0.007*D5*G3*G5*L112</f>
        <v>322.84980000000002</v>
      </c>
      <c r="I124" s="140" t="s">
        <v>287</v>
      </c>
      <c r="Q124" s="7"/>
      <c r="R124" s="1"/>
    </row>
    <row r="125" spans="2:18" x14ac:dyDescent="0.4">
      <c r="B125" s="147"/>
      <c r="C125" s="193"/>
      <c r="D125" s="190"/>
      <c r="E125" s="143"/>
      <c r="F125" s="278" t="s">
        <v>252</v>
      </c>
      <c r="G125" s="264"/>
      <c r="H125" s="235"/>
      <c r="I125" s="141" t="s">
        <v>278</v>
      </c>
    </row>
    <row r="126" spans="2:18" s="144" customFormat="1" ht="20.25" x14ac:dyDescent="0.4">
      <c r="B126" s="147"/>
      <c r="C126" s="193"/>
      <c r="D126" s="194" t="s">
        <v>276</v>
      </c>
      <c r="E126" s="142" t="s">
        <v>57</v>
      </c>
      <c r="F126" s="282" t="s">
        <v>280</v>
      </c>
      <c r="G126" s="283"/>
      <c r="H126" s="299">
        <f>0.1*D5*G3*G5*L114</f>
        <v>21.854448000000001</v>
      </c>
      <c r="I126" s="140" t="s">
        <v>288</v>
      </c>
      <c r="Q126" s="7"/>
      <c r="R126" s="1"/>
    </row>
    <row r="127" spans="2:18" s="144" customFormat="1" x14ac:dyDescent="0.4">
      <c r="B127" s="147"/>
      <c r="C127" s="190"/>
      <c r="D127" s="190"/>
      <c r="E127" s="143"/>
      <c r="F127" s="278" t="s">
        <v>281</v>
      </c>
      <c r="G127" s="264"/>
      <c r="H127" s="235"/>
      <c r="I127" s="141" t="s">
        <v>279</v>
      </c>
    </row>
    <row r="128" spans="2:18" ht="20.25" x14ac:dyDescent="0.4">
      <c r="B128" s="179"/>
      <c r="C128" s="189" t="s">
        <v>282</v>
      </c>
      <c r="D128" s="141" t="s">
        <v>18</v>
      </c>
      <c r="E128" s="143" t="s">
        <v>57</v>
      </c>
      <c r="F128" s="200" t="s">
        <v>246</v>
      </c>
      <c r="G128" s="201"/>
      <c r="H128" s="178">
        <f>H93*L108</f>
        <v>642.5100000000001</v>
      </c>
      <c r="I128" s="33" t="s">
        <v>32</v>
      </c>
    </row>
    <row r="129" spans="2:9" ht="20.25" x14ac:dyDescent="0.4">
      <c r="B129" s="179"/>
      <c r="C129" s="193"/>
      <c r="D129" s="136" t="s">
        <v>255</v>
      </c>
      <c r="E129" s="142" t="s">
        <v>57</v>
      </c>
      <c r="F129" s="315" t="s">
        <v>283</v>
      </c>
      <c r="G129" s="316"/>
      <c r="H129" s="180">
        <f>H97*L110</f>
        <v>6.3739200000000009</v>
      </c>
      <c r="I129" s="158" t="s">
        <v>33</v>
      </c>
    </row>
    <row r="130" spans="2:9" ht="20.25" x14ac:dyDescent="0.4">
      <c r="B130" s="179"/>
      <c r="C130" s="193"/>
      <c r="D130" s="194" t="s">
        <v>258</v>
      </c>
      <c r="E130" s="142" t="s">
        <v>57</v>
      </c>
      <c r="F130" s="319" t="s">
        <v>285</v>
      </c>
      <c r="G130" s="262"/>
      <c r="H130" s="299">
        <f>H61*L116*0.24</f>
        <v>232.21578239999997</v>
      </c>
      <c r="I130" s="309" t="s">
        <v>289</v>
      </c>
    </row>
    <row r="131" spans="2:9" x14ac:dyDescent="0.4">
      <c r="B131" s="179"/>
      <c r="C131" s="190"/>
      <c r="D131" s="190"/>
      <c r="E131" s="143"/>
      <c r="F131" s="263"/>
      <c r="G131" s="264"/>
      <c r="H131" s="235"/>
      <c r="I131" s="207"/>
    </row>
    <row r="132" spans="2:9" ht="20.25" x14ac:dyDescent="0.4">
      <c r="B132" s="179"/>
      <c r="C132" s="132"/>
      <c r="D132" s="181" t="s">
        <v>261</v>
      </c>
      <c r="E132" s="142" t="s">
        <v>57</v>
      </c>
      <c r="F132" s="259" t="s">
        <v>23</v>
      </c>
      <c r="G132" s="260"/>
      <c r="H132" s="178">
        <f>H123+H124+H126+H128+H129+H130</f>
        <v>1484.9584504000004</v>
      </c>
      <c r="I132" s="33" t="s">
        <v>290</v>
      </c>
    </row>
    <row r="133" spans="2:9" ht="20.25" x14ac:dyDescent="0.4">
      <c r="B133" s="179"/>
      <c r="C133" s="132"/>
      <c r="D133" s="181" t="s">
        <v>262</v>
      </c>
      <c r="E133" s="142" t="s">
        <v>57</v>
      </c>
      <c r="F133" s="259" t="s">
        <v>264</v>
      </c>
      <c r="G133" s="260"/>
      <c r="H133" s="178">
        <f>H132/80.2*19.3</f>
        <v>357.3528440488779</v>
      </c>
      <c r="I133" s="33" t="s">
        <v>291</v>
      </c>
    </row>
    <row r="134" spans="2:9" ht="20.25" x14ac:dyDescent="0.4">
      <c r="B134" s="179"/>
      <c r="C134" s="145"/>
      <c r="D134" s="181" t="s">
        <v>263</v>
      </c>
      <c r="E134" s="142" t="s">
        <v>57</v>
      </c>
      <c r="F134" s="259" t="s">
        <v>270</v>
      </c>
      <c r="G134" s="260"/>
      <c r="H134" s="182">
        <f>H132/80.2*0.5</f>
        <v>9.2578457007481312</v>
      </c>
      <c r="I134" s="33" t="s">
        <v>292</v>
      </c>
    </row>
    <row r="135" spans="2:9" ht="18.75" customHeight="1" x14ac:dyDescent="0.4">
      <c r="B135" s="147"/>
      <c r="C135" s="189" t="s">
        <v>299</v>
      </c>
      <c r="D135" s="189" t="s">
        <v>55</v>
      </c>
      <c r="E135" s="236" t="s">
        <v>56</v>
      </c>
      <c r="F135" s="202" t="s">
        <v>294</v>
      </c>
      <c r="G135" s="203"/>
      <c r="H135" s="253">
        <f>0.0001*D12*G3*G5</f>
        <v>2.3369701935483862</v>
      </c>
      <c r="I135" s="194" t="s">
        <v>295</v>
      </c>
    </row>
    <row r="136" spans="2:9" x14ac:dyDescent="0.4">
      <c r="B136" s="147"/>
      <c r="C136" s="193"/>
      <c r="D136" s="193"/>
      <c r="E136" s="237"/>
      <c r="F136" s="204"/>
      <c r="G136" s="205"/>
      <c r="H136" s="254"/>
      <c r="I136" s="199"/>
    </row>
    <row r="137" spans="2:9" ht="20.25" x14ac:dyDescent="0.4">
      <c r="B137" s="147"/>
      <c r="C137" s="190"/>
      <c r="D137" s="190"/>
      <c r="E137" s="15" t="s">
        <v>30</v>
      </c>
      <c r="F137" s="200" t="s">
        <v>48</v>
      </c>
      <c r="G137" s="201"/>
      <c r="H137" s="32">
        <f>H135*298</f>
        <v>696.41711767741913</v>
      </c>
      <c r="I137" s="56" t="s">
        <v>297</v>
      </c>
    </row>
    <row r="138" spans="2:9" s="144" customFormat="1" ht="20.25" x14ac:dyDescent="0.4">
      <c r="B138" s="147"/>
      <c r="C138" s="132"/>
      <c r="D138" s="154" t="s">
        <v>296</v>
      </c>
      <c r="E138" s="15" t="s">
        <v>30</v>
      </c>
      <c r="F138" s="200" t="s">
        <v>23</v>
      </c>
      <c r="G138" s="201"/>
      <c r="H138" s="32">
        <f>H132+H133+H134+H137</f>
        <v>2547.9862578270454</v>
      </c>
      <c r="I138" s="56" t="s">
        <v>298</v>
      </c>
    </row>
    <row r="139" spans="2:9" ht="20.25" x14ac:dyDescent="0.4">
      <c r="B139" s="147"/>
      <c r="C139" s="124" t="s">
        <v>205</v>
      </c>
      <c r="D139" s="28" t="s">
        <v>19</v>
      </c>
      <c r="E139" s="15" t="s">
        <v>30</v>
      </c>
      <c r="F139" s="200" t="s">
        <v>300</v>
      </c>
      <c r="G139" s="201"/>
      <c r="H139" s="32">
        <f>-H100*L108</f>
        <v>-1359.4349999999999</v>
      </c>
      <c r="I139" s="56" t="s">
        <v>146</v>
      </c>
    </row>
    <row r="140" spans="2:9" ht="20.25" x14ac:dyDescent="0.4">
      <c r="B140" s="148"/>
      <c r="C140" s="132"/>
      <c r="D140" s="154" t="s">
        <v>301</v>
      </c>
      <c r="E140" s="15" t="s">
        <v>30</v>
      </c>
      <c r="F140" s="200" t="s">
        <v>38</v>
      </c>
      <c r="G140" s="201"/>
      <c r="H140" s="32">
        <f>H138+H139</f>
        <v>1188.5512578270454</v>
      </c>
      <c r="I140" s="56" t="s">
        <v>302</v>
      </c>
    </row>
    <row r="141" spans="2:9" ht="30" x14ac:dyDescent="0.4">
      <c r="B141" s="208" t="s">
        <v>16</v>
      </c>
      <c r="C141" s="284"/>
      <c r="D141" s="284"/>
      <c r="E141" s="20" t="s">
        <v>35</v>
      </c>
      <c r="F141" s="280" t="s">
        <v>36</v>
      </c>
      <c r="G141" s="281"/>
      <c r="H141" s="55">
        <f>1-H140/H122</f>
        <v>0.88309944841912313</v>
      </c>
      <c r="I141" s="57" t="s">
        <v>303</v>
      </c>
    </row>
    <row r="142" spans="2:9" s="186" customFormat="1" ht="18.75" customHeight="1" x14ac:dyDescent="0.4">
      <c r="B142" s="187"/>
      <c r="C142" s="187"/>
      <c r="D142" s="92"/>
    </row>
    <row r="143" spans="2:9" x14ac:dyDescent="0.4">
      <c r="B143" s="317" t="s">
        <v>307</v>
      </c>
      <c r="C143" s="318"/>
      <c r="D143" s="318"/>
      <c r="E143" s="318"/>
      <c r="F143" s="318"/>
      <c r="G143" s="318"/>
      <c r="H143" s="318"/>
      <c r="I143" s="318"/>
    </row>
    <row r="144" spans="2:9" x14ac:dyDescent="0.4">
      <c r="B144" s="318"/>
      <c r="C144" s="318"/>
      <c r="D144" s="318"/>
      <c r="E144" s="318"/>
      <c r="F144" s="318"/>
      <c r="G144" s="318"/>
      <c r="H144" s="318"/>
      <c r="I144" s="318"/>
    </row>
  </sheetData>
  <mergeCells count="248">
    <mergeCell ref="B143:I144"/>
    <mergeCell ref="F132:G132"/>
    <mergeCell ref="F133:G133"/>
    <mergeCell ref="F134:G134"/>
    <mergeCell ref="C135:C137"/>
    <mergeCell ref="F138:G138"/>
    <mergeCell ref="C119:C121"/>
    <mergeCell ref="F124:G124"/>
    <mergeCell ref="F125:G125"/>
    <mergeCell ref="F126:G126"/>
    <mergeCell ref="F127:G127"/>
    <mergeCell ref="F128:G128"/>
    <mergeCell ref="F129:G129"/>
    <mergeCell ref="F130:G131"/>
    <mergeCell ref="I130:I131"/>
    <mergeCell ref="H124:H125"/>
    <mergeCell ref="H126:H127"/>
    <mergeCell ref="H130:H131"/>
    <mergeCell ref="C128:C131"/>
    <mergeCell ref="D130:D131"/>
    <mergeCell ref="L116:L117"/>
    <mergeCell ref="F110:G110"/>
    <mergeCell ref="L110:L111"/>
    <mergeCell ref="F112:G112"/>
    <mergeCell ref="F111:G111"/>
    <mergeCell ref="F113:G113"/>
    <mergeCell ref="H109:H110"/>
    <mergeCell ref="H112:H113"/>
    <mergeCell ref="I112:I113"/>
    <mergeCell ref="H114:H115"/>
    <mergeCell ref="F83:G84"/>
    <mergeCell ref="H83:H84"/>
    <mergeCell ref="F104:G104"/>
    <mergeCell ref="F92:G92"/>
    <mergeCell ref="I93:I94"/>
    <mergeCell ref="F88:G88"/>
    <mergeCell ref="L108:L109"/>
    <mergeCell ref="L112:L113"/>
    <mergeCell ref="L114:L115"/>
    <mergeCell ref="H54:H55"/>
    <mergeCell ref="F66:G66"/>
    <mergeCell ref="E93:E94"/>
    <mergeCell ref="F93:G94"/>
    <mergeCell ref="H93:H94"/>
    <mergeCell ref="E102:E103"/>
    <mergeCell ref="H102:H103"/>
    <mergeCell ref="L83:L84"/>
    <mergeCell ref="L85:L86"/>
    <mergeCell ref="F95:G95"/>
    <mergeCell ref="F96:G96"/>
    <mergeCell ref="F98:G98"/>
    <mergeCell ref="F99:G99"/>
    <mergeCell ref="F100:G100"/>
    <mergeCell ref="F101:G101"/>
    <mergeCell ref="F102:G102"/>
    <mergeCell ref="F97:G97"/>
    <mergeCell ref="I89:I90"/>
    <mergeCell ref="H89:H90"/>
    <mergeCell ref="F89:G90"/>
    <mergeCell ref="E89:E90"/>
    <mergeCell ref="I83:I84"/>
    <mergeCell ref="H85:H86"/>
    <mergeCell ref="I85:I86"/>
    <mergeCell ref="F41:G41"/>
    <mergeCell ref="F44:G44"/>
    <mergeCell ref="F48:G48"/>
    <mergeCell ref="F47:G47"/>
    <mergeCell ref="F64:G64"/>
    <mergeCell ref="F67:G67"/>
    <mergeCell ref="F63:G63"/>
    <mergeCell ref="D45:D46"/>
    <mergeCell ref="D54:D56"/>
    <mergeCell ref="D57:D58"/>
    <mergeCell ref="F58:G58"/>
    <mergeCell ref="E51:E52"/>
    <mergeCell ref="E54:E55"/>
    <mergeCell ref="F54:G55"/>
    <mergeCell ref="E85:E86"/>
    <mergeCell ref="F85:G86"/>
    <mergeCell ref="F141:G141"/>
    <mergeCell ref="F109:G109"/>
    <mergeCell ref="F107:G107"/>
    <mergeCell ref="F108:G108"/>
    <mergeCell ref="B141:D141"/>
    <mergeCell ref="B104:D104"/>
    <mergeCell ref="F140:G140"/>
    <mergeCell ref="F139:G139"/>
    <mergeCell ref="D109:D110"/>
    <mergeCell ref="D112:D113"/>
    <mergeCell ref="D114:D115"/>
    <mergeCell ref="C123:C127"/>
    <mergeCell ref="D124:D125"/>
    <mergeCell ref="D126:D127"/>
    <mergeCell ref="F118:G118"/>
    <mergeCell ref="F114:G115"/>
    <mergeCell ref="F117:G117"/>
    <mergeCell ref="F116:G116"/>
    <mergeCell ref="B11:C11"/>
    <mergeCell ref="B8:C8"/>
    <mergeCell ref="B9:C9"/>
    <mergeCell ref="D29:D30"/>
    <mergeCell ref="E29:E30"/>
    <mergeCell ref="B10:C10"/>
    <mergeCell ref="D31:D33"/>
    <mergeCell ref="E31:E33"/>
    <mergeCell ref="D26:D28"/>
    <mergeCell ref="E26:E28"/>
    <mergeCell ref="C18:C19"/>
    <mergeCell ref="C20:C22"/>
    <mergeCell ref="C26:C28"/>
    <mergeCell ref="C29:C34"/>
    <mergeCell ref="B82:D82"/>
    <mergeCell ref="F82:G82"/>
    <mergeCell ref="E83:E84"/>
    <mergeCell ref="F87:G87"/>
    <mergeCell ref="F91:G91"/>
    <mergeCell ref="B3:C3"/>
    <mergeCell ref="F17:G17"/>
    <mergeCell ref="F20:G20"/>
    <mergeCell ref="F21:G21"/>
    <mergeCell ref="F22:G22"/>
    <mergeCell ref="F29:G30"/>
    <mergeCell ref="F38:G38"/>
    <mergeCell ref="F39:G39"/>
    <mergeCell ref="F40:G40"/>
    <mergeCell ref="D24:D25"/>
    <mergeCell ref="F24:G25"/>
    <mergeCell ref="F37:G37"/>
    <mergeCell ref="B4:C4"/>
    <mergeCell ref="B5:C5"/>
    <mergeCell ref="B7:C7"/>
    <mergeCell ref="B12:C12"/>
    <mergeCell ref="F18:G18"/>
    <mergeCell ref="B6:C6"/>
    <mergeCell ref="F26:G28"/>
    <mergeCell ref="F23:G23"/>
    <mergeCell ref="F19:G19"/>
    <mergeCell ref="B15:C16"/>
    <mergeCell ref="E24:E25"/>
    <mergeCell ref="B18:B37"/>
    <mergeCell ref="O121:P121"/>
    <mergeCell ref="B107:D107"/>
    <mergeCell ref="D119:D121"/>
    <mergeCell ref="D135:D137"/>
    <mergeCell ref="F121:G121"/>
    <mergeCell ref="F122:G122"/>
    <mergeCell ref="F123:G123"/>
    <mergeCell ref="F137:G137"/>
    <mergeCell ref="I119:I120"/>
    <mergeCell ref="F135:G136"/>
    <mergeCell ref="H135:H136"/>
    <mergeCell ref="I135:I136"/>
    <mergeCell ref="E119:E120"/>
    <mergeCell ref="E135:E136"/>
    <mergeCell ref="F119:G120"/>
    <mergeCell ref="H119:H120"/>
    <mergeCell ref="B108:B122"/>
    <mergeCell ref="C108:C110"/>
    <mergeCell ref="C111:C115"/>
    <mergeCell ref="O63:P63"/>
    <mergeCell ref="F61:G61"/>
    <mergeCell ref="D63:D64"/>
    <mergeCell ref="E49:E50"/>
    <mergeCell ref="F49:G50"/>
    <mergeCell ref="H49:H50"/>
    <mergeCell ref="F53:G53"/>
    <mergeCell ref="Q7:R7"/>
    <mergeCell ref="S7:T7"/>
    <mergeCell ref="O46:P46"/>
    <mergeCell ref="H24:H25"/>
    <mergeCell ref="I24:I25"/>
    <mergeCell ref="H29:H30"/>
    <mergeCell ref="K44:L44"/>
    <mergeCell ref="O21:O23"/>
    <mergeCell ref="R21:R22"/>
    <mergeCell ref="O24:P24"/>
    <mergeCell ref="O41:P41"/>
    <mergeCell ref="O44:P44"/>
    <mergeCell ref="I29:I30"/>
    <mergeCell ref="H26:H28"/>
    <mergeCell ref="K26:L26"/>
    <mergeCell ref="I31:I33"/>
    <mergeCell ref="I26:I28"/>
    <mergeCell ref="O48:P48"/>
    <mergeCell ref="O57:P57"/>
    <mergeCell ref="D61:D62"/>
    <mergeCell ref="O61:P61"/>
    <mergeCell ref="F62:G62"/>
    <mergeCell ref="I49:I50"/>
    <mergeCell ref="I51:I52"/>
    <mergeCell ref="H51:H52"/>
    <mergeCell ref="K32:L33"/>
    <mergeCell ref="F42:G42"/>
    <mergeCell ref="F43:G43"/>
    <mergeCell ref="F45:G45"/>
    <mergeCell ref="F46:G46"/>
    <mergeCell ref="F56:G56"/>
    <mergeCell ref="F57:G57"/>
    <mergeCell ref="F59:G59"/>
    <mergeCell ref="F60:G60"/>
    <mergeCell ref="I54:I55"/>
    <mergeCell ref="F31:G33"/>
    <mergeCell ref="H31:H33"/>
    <mergeCell ref="F35:G35"/>
    <mergeCell ref="F34:G34"/>
    <mergeCell ref="F36:G36"/>
    <mergeCell ref="C37:D37"/>
    <mergeCell ref="F74:G74"/>
    <mergeCell ref="F76:G76"/>
    <mergeCell ref="F75:G75"/>
    <mergeCell ref="F79:G79"/>
    <mergeCell ref="F77:G77"/>
    <mergeCell ref="F78:G78"/>
    <mergeCell ref="F51:G52"/>
    <mergeCell ref="D59:D60"/>
    <mergeCell ref="D47:D53"/>
    <mergeCell ref="B76:D76"/>
    <mergeCell ref="B79:D79"/>
    <mergeCell ref="B38:B69"/>
    <mergeCell ref="C39:C40"/>
    <mergeCell ref="C41:C42"/>
    <mergeCell ref="C45:C53"/>
    <mergeCell ref="C54:C67"/>
    <mergeCell ref="B73:D73"/>
    <mergeCell ref="B70:D70"/>
    <mergeCell ref="C69:D69"/>
    <mergeCell ref="F73:G73"/>
    <mergeCell ref="F70:G70"/>
    <mergeCell ref="F69:G69"/>
    <mergeCell ref="F68:G68"/>
    <mergeCell ref="F65:G65"/>
    <mergeCell ref="C83:C84"/>
    <mergeCell ref="C85:C86"/>
    <mergeCell ref="D87:D88"/>
    <mergeCell ref="C89:C90"/>
    <mergeCell ref="B83:B91"/>
    <mergeCell ref="B92:B103"/>
    <mergeCell ref="C93:C94"/>
    <mergeCell ref="D93:D94"/>
    <mergeCell ref="D95:D96"/>
    <mergeCell ref="C97:C98"/>
    <mergeCell ref="D97:D98"/>
    <mergeCell ref="C100:C101"/>
    <mergeCell ref="D100:D101"/>
    <mergeCell ref="C102:D103"/>
    <mergeCell ref="D83:D84"/>
    <mergeCell ref="D89:D90"/>
    <mergeCell ref="D85:D86"/>
  </mergeCells>
  <phoneticPr fontId="1"/>
  <pageMargins left="0.70866141732283472" right="0.70866141732283472" top="0.74803149606299213" bottom="0.74803149606299213" header="0.31496062992125984" footer="0.31496062992125984"/>
  <pageSetup paperSize="9"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試算シート</vt:lpstr>
      <vt:lpstr>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芹沢 佳代</cp:lastModifiedBy>
  <cp:lastPrinted>2020-09-01T02:24:06Z</cp:lastPrinted>
  <dcterms:created xsi:type="dcterms:W3CDTF">2019-06-12T01:14:22Z</dcterms:created>
  <dcterms:modified xsi:type="dcterms:W3CDTF">2020-09-03T09:25:06Z</dcterms:modified>
</cp:coreProperties>
</file>