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iida.OKAWARA-MFG\Desktop\"/>
    </mc:Choice>
  </mc:AlternateContent>
  <bookViews>
    <workbookView xWindow="0" yWindow="0" windowWidth="20490" windowHeight="7530"/>
  </bookViews>
  <sheets>
    <sheet name="01.小型乾燥機_試算シート" sheetId="3" r:id="rId1"/>
    <sheet name="02.中型乾燥機_試算シート" sheetId="5" r:id="rId2"/>
  </sheets>
  <definedNames>
    <definedName name="_xlnm.Print_Area" localSheetId="0">'01.小型乾燥機_試算シート'!$A$1:$O$90</definedName>
    <definedName name="_xlnm.Print_Area" localSheetId="1">'02.中型乾燥機_試算シート'!$A$1:$O$90</definedName>
  </definedNames>
  <calcPr calcId="162913"/>
</workbook>
</file>

<file path=xl/calcChain.xml><?xml version="1.0" encoding="utf-8"?>
<calcChain xmlns="http://schemas.openxmlformats.org/spreadsheetml/2006/main">
  <c r="K5" i="5" l="1"/>
  <c r="K6" i="5" s="1"/>
  <c r="K5" i="3"/>
  <c r="J36" i="5"/>
  <c r="J37" i="5" s="1"/>
  <c r="J34" i="5"/>
  <c r="J35" i="5" s="1"/>
  <c r="J32" i="5"/>
  <c r="J33" i="5" s="1"/>
  <c r="J23" i="5"/>
  <c r="J28" i="5" s="1"/>
  <c r="J81" i="5"/>
  <c r="N47" i="5"/>
  <c r="N46" i="5"/>
  <c r="N45" i="5"/>
  <c r="J45" i="5"/>
  <c r="J31" i="5"/>
  <c r="K9" i="5"/>
  <c r="K7" i="5"/>
  <c r="K8" i="5" s="1"/>
  <c r="J43" i="5" l="1"/>
  <c r="J44" i="5"/>
  <c r="K3" i="5"/>
  <c r="K4" i="5" s="1"/>
  <c r="J41" i="5"/>
  <c r="J73" i="5"/>
  <c r="J77" i="5" s="1"/>
  <c r="J61" i="5"/>
  <c r="J42" i="5"/>
  <c r="J79" i="5" s="1"/>
  <c r="J39" i="5"/>
  <c r="J40" i="5"/>
  <c r="J22" i="5"/>
  <c r="J38" i="5"/>
  <c r="H55" i="5" s="1"/>
  <c r="J81" i="3"/>
  <c r="J76" i="3"/>
  <c r="J16" i="5" l="1"/>
  <c r="J17" i="5" s="1"/>
  <c r="J14" i="5"/>
  <c r="J18" i="5"/>
  <c r="J19" i="5" s="1"/>
  <c r="J66" i="5"/>
  <c r="J65" i="5"/>
  <c r="J78" i="5"/>
  <c r="J46" i="5"/>
  <c r="J80" i="5"/>
  <c r="J67" i="5"/>
  <c r="N47" i="3"/>
  <c r="N46" i="3"/>
  <c r="N45" i="3"/>
  <c r="J15" i="5" l="1"/>
  <c r="J21" i="5" s="1"/>
  <c r="J29" i="5" s="1"/>
  <c r="J20" i="5"/>
  <c r="J82" i="5"/>
  <c r="J83" i="5" s="1"/>
  <c r="J48" i="5"/>
  <c r="H56" i="5"/>
  <c r="H57" i="5" s="1"/>
  <c r="J68" i="5"/>
  <c r="J69" i="5" s="1"/>
  <c r="J45" i="3"/>
  <c r="J51" i="5" l="1"/>
  <c r="J50" i="5"/>
  <c r="K9" i="3"/>
  <c r="J27" i="3" s="1"/>
  <c r="J22" i="3"/>
  <c r="J36" i="3"/>
  <c r="J37" i="3" s="1"/>
  <c r="J34" i="3"/>
  <c r="J43" i="3" s="1"/>
  <c r="J32" i="3"/>
  <c r="J33" i="3" s="1"/>
  <c r="J31" i="3"/>
  <c r="K7" i="3"/>
  <c r="J40" i="3" s="1"/>
  <c r="J25" i="3" l="1"/>
  <c r="K8" i="3"/>
  <c r="K3" i="3" s="1"/>
  <c r="K6" i="3"/>
  <c r="J26" i="3" s="1"/>
  <c r="J23" i="3"/>
  <c r="J24" i="3"/>
  <c r="J35" i="3"/>
  <c r="J39" i="3" s="1"/>
  <c r="J38" i="3"/>
  <c r="H55" i="3" s="1"/>
  <c r="J18" i="3"/>
  <c r="J19" i="3" s="1"/>
  <c r="J16" i="3"/>
  <c r="J17" i="3" s="1"/>
  <c r="K4" i="3" l="1"/>
  <c r="J14" i="3" s="1"/>
  <c r="J41" i="3"/>
  <c r="J78" i="3" s="1"/>
  <c r="J62" i="3"/>
  <c r="J74" i="3"/>
  <c r="J61" i="3"/>
  <c r="J73" i="3"/>
  <c r="J75" i="3"/>
  <c r="J63" i="3"/>
  <c r="J28" i="3"/>
  <c r="J42" i="3"/>
  <c r="J44" i="3"/>
  <c r="J15" i="3" l="1"/>
  <c r="J21" i="3" s="1"/>
  <c r="J29" i="3" s="1"/>
  <c r="J20" i="3"/>
  <c r="J65" i="3"/>
  <c r="J79" i="3"/>
  <c r="J66" i="3"/>
  <c r="J64" i="3"/>
  <c r="J77" i="3"/>
  <c r="J80" i="3"/>
  <c r="J67" i="3"/>
  <c r="J46" i="3"/>
  <c r="H56" i="3" s="1"/>
  <c r="H57" i="3" s="1"/>
  <c r="J82" i="3" l="1"/>
  <c r="J83" i="3" s="1"/>
  <c r="J68" i="3"/>
  <c r="J69" i="3" s="1"/>
  <c r="J48" i="3"/>
  <c r="J50" i="3" s="1"/>
  <c r="J51" i="3" l="1"/>
</calcChain>
</file>

<file path=xl/sharedStrings.xml><?xml version="1.0" encoding="utf-8"?>
<sst xmlns="http://schemas.openxmlformats.org/spreadsheetml/2006/main" count="616" uniqueCount="253">
  <si>
    <t>建設費</t>
    <rPh sb="0" eb="3">
      <t>ケンセツヒ</t>
    </rPh>
    <phoneticPr fontId="1"/>
  </si>
  <si>
    <t>従来技術</t>
    <rPh sb="0" eb="2">
      <t>ジュウライ</t>
    </rPh>
    <rPh sb="2" eb="4">
      <t>ギジュツ</t>
    </rPh>
    <phoneticPr fontId="1"/>
  </si>
  <si>
    <t>機械建設費</t>
    <rPh sb="0" eb="2">
      <t>キカイ</t>
    </rPh>
    <rPh sb="2" eb="5">
      <t>ケンセツヒ</t>
    </rPh>
    <phoneticPr fontId="1"/>
  </si>
  <si>
    <t>電気建設費</t>
    <rPh sb="0" eb="2">
      <t>デンキ</t>
    </rPh>
    <rPh sb="2" eb="5">
      <t>ケンセツヒ</t>
    </rPh>
    <phoneticPr fontId="1"/>
  </si>
  <si>
    <t>維持管理費</t>
    <rPh sb="0" eb="2">
      <t>イジ</t>
    </rPh>
    <rPh sb="2" eb="5">
      <t>カンリヒ</t>
    </rPh>
    <phoneticPr fontId="1"/>
  </si>
  <si>
    <t>建設費年価</t>
    <rPh sb="0" eb="3">
      <t>ケンセツヒ</t>
    </rPh>
    <rPh sb="3" eb="4">
      <t>ネン</t>
    </rPh>
    <rPh sb="4" eb="5">
      <t>カ</t>
    </rPh>
    <phoneticPr fontId="1"/>
  </si>
  <si>
    <t>革新的技術</t>
    <rPh sb="0" eb="3">
      <t>カクシンテキ</t>
    </rPh>
    <rPh sb="3" eb="5">
      <t>ギジュツ</t>
    </rPh>
    <phoneticPr fontId="1"/>
  </si>
  <si>
    <t>建設費合計</t>
    <rPh sb="0" eb="3">
      <t>ケンセツヒ</t>
    </rPh>
    <rPh sb="3" eb="5">
      <t>ゴウケイ</t>
    </rPh>
    <phoneticPr fontId="1"/>
  </si>
  <si>
    <t>費用（百万円）</t>
    <rPh sb="0" eb="2">
      <t>ヒヨウ</t>
    </rPh>
    <rPh sb="3" eb="5">
      <t>ヒャクマン</t>
    </rPh>
    <rPh sb="5" eb="6">
      <t>エン</t>
    </rPh>
    <phoneticPr fontId="1"/>
  </si>
  <si>
    <t>備考</t>
    <rPh sb="0" eb="2">
      <t>ビコウ</t>
    </rPh>
    <phoneticPr fontId="1"/>
  </si>
  <si>
    <t>技術区分</t>
    <rPh sb="0" eb="2">
      <t>ギジュツ</t>
    </rPh>
    <rPh sb="2" eb="4">
      <t>クブン</t>
    </rPh>
    <phoneticPr fontId="1"/>
  </si>
  <si>
    <t>項目</t>
    <rPh sb="0" eb="2">
      <t>コウモク</t>
    </rPh>
    <phoneticPr fontId="1"/>
  </si>
  <si>
    <t>設備名称</t>
    <rPh sb="0" eb="2">
      <t>セツビ</t>
    </rPh>
    <rPh sb="2" eb="4">
      <t>メイショウ</t>
    </rPh>
    <phoneticPr fontId="1"/>
  </si>
  <si>
    <t>費用回収年</t>
    <rPh sb="0" eb="2">
      <t>ヒヨウ</t>
    </rPh>
    <rPh sb="2" eb="4">
      <t>カイシュウ</t>
    </rPh>
    <rPh sb="4" eb="5">
      <t>ネン</t>
    </rPh>
    <phoneticPr fontId="1"/>
  </si>
  <si>
    <t>革新的技術の維持管理費</t>
    <rPh sb="0" eb="2">
      <t>カクシン</t>
    </rPh>
    <rPh sb="2" eb="3">
      <t>テキ</t>
    </rPh>
    <rPh sb="3" eb="5">
      <t>ギジュツ</t>
    </rPh>
    <rPh sb="6" eb="8">
      <t>イジ</t>
    </rPh>
    <rPh sb="8" eb="11">
      <t>カンリヒ</t>
    </rPh>
    <phoneticPr fontId="1"/>
  </si>
  <si>
    <t>百万円</t>
    <rPh sb="0" eb="1">
      <t>ヒャク</t>
    </rPh>
    <rPh sb="1" eb="3">
      <t>マンエン</t>
    </rPh>
    <phoneticPr fontId="1"/>
  </si>
  <si>
    <t>百万円/年</t>
    <rPh sb="0" eb="1">
      <t>ヒャク</t>
    </rPh>
    <rPh sb="1" eb="3">
      <t>マンエン</t>
    </rPh>
    <rPh sb="4" eb="5">
      <t>ネン</t>
    </rPh>
    <phoneticPr fontId="1"/>
  </si>
  <si>
    <t>費用</t>
    <rPh sb="0" eb="2">
      <t>ヒヨウ</t>
    </rPh>
    <phoneticPr fontId="1"/>
  </si>
  <si>
    <t>単位</t>
    <rPh sb="0" eb="2">
      <t>タンイ</t>
    </rPh>
    <phoneticPr fontId="1"/>
  </si>
  <si>
    <t>年</t>
    <rPh sb="0" eb="1">
      <t>ネン</t>
    </rPh>
    <phoneticPr fontId="1"/>
  </si>
  <si>
    <t>エネルギー削減効果</t>
    <rPh sb="5" eb="7">
      <t>サクゲン</t>
    </rPh>
    <rPh sb="7" eb="9">
      <t>コウカ</t>
    </rPh>
    <phoneticPr fontId="1"/>
  </si>
  <si>
    <t>温室効果ガス削減効果</t>
    <rPh sb="0" eb="2">
      <t>オンシツ</t>
    </rPh>
    <rPh sb="2" eb="4">
      <t>コウカ</t>
    </rPh>
    <rPh sb="6" eb="8">
      <t>サクゲン</t>
    </rPh>
    <rPh sb="8" eb="10">
      <t>コウカ</t>
    </rPh>
    <phoneticPr fontId="1"/>
  </si>
  <si>
    <t>百万円</t>
    <rPh sb="0" eb="2">
      <t>ヒャクマン</t>
    </rPh>
    <rPh sb="2" eb="3">
      <t>エン</t>
    </rPh>
    <phoneticPr fontId="1"/>
  </si>
  <si>
    <t>百万円/年</t>
    <rPh sb="0" eb="2">
      <t>ヒャクマン</t>
    </rPh>
    <rPh sb="2" eb="3">
      <t>エン</t>
    </rPh>
    <rPh sb="4" eb="5">
      <t>ネン</t>
    </rPh>
    <phoneticPr fontId="1"/>
  </si>
  <si>
    <t>費用関数</t>
    <rPh sb="0" eb="2">
      <t>ヒヨウ</t>
    </rPh>
    <rPh sb="2" eb="4">
      <t>カンスウ</t>
    </rPh>
    <phoneticPr fontId="1"/>
  </si>
  <si>
    <t>ー</t>
    <phoneticPr fontId="1"/>
  </si>
  <si>
    <t>備考</t>
    <phoneticPr fontId="1"/>
  </si>
  <si>
    <t>費用関数</t>
    <phoneticPr fontId="1"/>
  </si>
  <si>
    <t>①</t>
    <phoneticPr fontId="1"/>
  </si>
  <si>
    <t>④</t>
    <phoneticPr fontId="1"/>
  </si>
  <si>
    <t>備考</t>
    <rPh sb="0" eb="2">
      <t>ビコウ</t>
    </rPh>
    <phoneticPr fontId="1"/>
  </si>
  <si>
    <t>％</t>
    <phoneticPr fontId="1"/>
  </si>
  <si>
    <t>ー</t>
    <phoneticPr fontId="1"/>
  </si>
  <si>
    <t>諸元値一覧</t>
    <rPh sb="0" eb="2">
      <t>ショゲン</t>
    </rPh>
    <rPh sb="2" eb="3">
      <t>チ</t>
    </rPh>
    <rPh sb="3" eb="5">
      <t>イチラン</t>
    </rPh>
    <phoneticPr fontId="1"/>
  </si>
  <si>
    <t>⑥</t>
    <phoneticPr fontId="1"/>
  </si>
  <si>
    <t>電気設備</t>
    <rPh sb="0" eb="2">
      <t>デンキ</t>
    </rPh>
    <rPh sb="2" eb="4">
      <t>セツビ</t>
    </rPh>
    <phoneticPr fontId="1"/>
  </si>
  <si>
    <t>総費用(年価換算値)</t>
    <rPh sb="0" eb="3">
      <t>ソウヒヨウ</t>
    </rPh>
    <rPh sb="4" eb="5">
      <t>トシ</t>
    </rPh>
    <rPh sb="5" eb="6">
      <t>アタイ</t>
    </rPh>
    <rPh sb="6" eb="8">
      <t>カンサン</t>
    </rPh>
    <rPh sb="8" eb="9">
      <t>アタイ</t>
    </rPh>
    <phoneticPr fontId="1"/>
  </si>
  <si>
    <t>利子率(％)</t>
    <rPh sb="0" eb="2">
      <t>リシ</t>
    </rPh>
    <rPh sb="2" eb="3">
      <t>リツ</t>
    </rPh>
    <phoneticPr fontId="1"/>
  </si>
  <si>
    <t>対象年数(年)</t>
    <rPh sb="0" eb="2">
      <t>タイショウ</t>
    </rPh>
    <rPh sb="2" eb="4">
      <t>ネンスウ</t>
    </rPh>
    <rPh sb="5" eb="6">
      <t>ネン</t>
    </rPh>
    <phoneticPr fontId="1"/>
  </si>
  <si>
    <t>乾燥機年間稼働日数[日/年]</t>
    <rPh sb="0" eb="2">
      <t>カンソウ</t>
    </rPh>
    <rPh sb="2" eb="3">
      <t>キ</t>
    </rPh>
    <rPh sb="3" eb="5">
      <t>ネンカン</t>
    </rPh>
    <rPh sb="5" eb="7">
      <t>カドウ</t>
    </rPh>
    <rPh sb="7" eb="9">
      <t>ニッスウ</t>
    </rPh>
    <rPh sb="10" eb="11">
      <t>ニチ</t>
    </rPh>
    <rPh sb="12" eb="13">
      <t>ネン</t>
    </rPh>
    <phoneticPr fontId="1"/>
  </si>
  <si>
    <t>上水単価[円/m3]</t>
  </si>
  <si>
    <t>A重油単価[円/ℓ]</t>
  </si>
  <si>
    <t>LPG単価[円/kg]</t>
  </si>
  <si>
    <t>建設工事費デフレータ</t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</si>
  <si>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C2</t>
    </r>
    <r>
      <rPr>
        <sz val="11"/>
        <color theme="1"/>
        <rFont val="游ゴシック"/>
        <family val="3"/>
        <charset val="128"/>
        <scheme val="minor"/>
      </rPr>
      <t>=46.944×X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vertAlign val="superscript"/>
        <sz val="11"/>
        <color theme="1"/>
        <rFont val="游ゴシック"/>
        <family val="3"/>
        <charset val="128"/>
        <scheme val="minor"/>
      </rPr>
      <t>0.4681</t>
    </r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</si>
  <si>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C1</t>
    </r>
    <r>
      <rPr>
        <sz val="11"/>
        <color theme="1"/>
        <rFont val="游ゴシック"/>
        <family val="3"/>
        <charset val="128"/>
        <scheme val="minor"/>
      </rPr>
      <t>=12.3×X</t>
    </r>
    <r>
      <rPr>
        <vertAlign val="subscript"/>
        <sz val="11"/>
        <color theme="1"/>
        <rFont val="游ゴシック"/>
        <family val="3"/>
        <charset val="128"/>
        <scheme val="minor"/>
      </rPr>
      <t>d</t>
    </r>
    <r>
      <rPr>
        <vertAlign val="superscript"/>
        <sz val="11"/>
        <color theme="1"/>
        <rFont val="游ゴシック"/>
        <family val="3"/>
        <charset val="128"/>
        <scheme val="minor"/>
      </rPr>
      <t>0.941</t>
    </r>
    <r>
      <rPr>
        <sz val="11"/>
        <color theme="1"/>
        <rFont val="游ゴシック"/>
        <family val="3"/>
        <charset val="128"/>
        <scheme val="minor"/>
      </rPr>
      <t>×β</t>
    </r>
    <phoneticPr fontId="1"/>
  </si>
  <si>
    <t>年価</t>
    <rPh sb="0" eb="1">
      <t>ネン</t>
    </rPh>
    <rPh sb="1" eb="2">
      <t>アタイ</t>
    </rPh>
    <phoneticPr fontId="1"/>
  </si>
  <si>
    <r>
      <t>年価=Y</t>
    </r>
    <r>
      <rPr>
        <vertAlign val="subscript"/>
        <sz val="11"/>
        <color theme="1"/>
        <rFont val="游ゴシック"/>
        <family val="3"/>
        <charset val="128"/>
        <scheme val="minor"/>
      </rPr>
      <t>C1</t>
    </r>
    <r>
      <rPr>
        <sz val="11"/>
        <color theme="1"/>
        <rFont val="游ゴシック"/>
        <family val="3"/>
        <charset val="128"/>
        <scheme val="minor"/>
      </rPr>
      <t>×α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Ph sb="0" eb="1">
      <t>ネン</t>
    </rPh>
    <rPh sb="1" eb="2">
      <t>カ</t>
    </rPh>
    <phoneticPr fontId="1"/>
  </si>
  <si>
    <t>年価</t>
    <rPh sb="0" eb="1">
      <t>ネン</t>
    </rPh>
    <rPh sb="1" eb="2">
      <t>カ</t>
    </rPh>
    <phoneticPr fontId="1"/>
  </si>
  <si>
    <r>
      <t>年価=Y</t>
    </r>
    <r>
      <rPr>
        <vertAlign val="subscript"/>
        <sz val="11"/>
        <color theme="1"/>
        <rFont val="游ゴシック"/>
        <family val="3"/>
        <charset val="128"/>
        <scheme val="minor"/>
      </rPr>
      <t>C2</t>
    </r>
    <r>
      <rPr>
        <sz val="11"/>
        <color theme="1"/>
        <rFont val="游ゴシック"/>
        <family val="2"/>
        <charset val="128"/>
        <scheme val="minor"/>
      </rPr>
      <t>×α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Ph sb="0" eb="1">
      <t>ネン</t>
    </rPh>
    <rPh sb="1" eb="2">
      <t>カ</t>
    </rPh>
    <phoneticPr fontId="1"/>
  </si>
  <si>
    <r>
      <t>年価=Y</t>
    </r>
    <r>
      <rPr>
        <vertAlign val="subscript"/>
        <sz val="11"/>
        <color theme="1"/>
        <rFont val="游ゴシック"/>
        <family val="3"/>
        <charset val="128"/>
        <scheme val="minor"/>
      </rPr>
      <t>C3</t>
    </r>
    <r>
      <rPr>
        <sz val="11"/>
        <color theme="1"/>
        <rFont val="游ゴシック"/>
        <family val="2"/>
        <charset val="128"/>
        <scheme val="minor"/>
      </rPr>
      <t>×α</t>
    </r>
    <r>
      <rPr>
        <vertAlign val="subscript"/>
        <sz val="11"/>
        <color theme="1"/>
        <rFont val="游ゴシック"/>
        <family val="3"/>
        <charset val="128"/>
        <scheme val="minor"/>
      </rPr>
      <t>3</t>
    </r>
    <rPh sb="0" eb="1">
      <t>ネン</t>
    </rPh>
    <rPh sb="1" eb="2">
      <t>カ</t>
    </rPh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</si>
  <si>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</t>
    </r>
    <r>
      <rPr>
        <sz val="11"/>
        <color theme="1"/>
        <rFont val="游ゴシック"/>
        <family val="2"/>
        <charset val="128"/>
        <scheme val="minor"/>
      </rPr>
      <t>=12.053×X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vertAlign val="superscript"/>
        <sz val="11"/>
        <color theme="1"/>
        <rFont val="游ゴシック"/>
        <family val="3"/>
        <charset val="128"/>
        <scheme val="minor"/>
      </rPr>
      <t>0.5158</t>
    </r>
    <phoneticPr fontId="1"/>
  </si>
  <si>
    <t>従来の乾燥機</t>
    <rPh sb="0" eb="2">
      <t>ジュウライ</t>
    </rPh>
    <rPh sb="3" eb="6">
      <t>カンソウキ</t>
    </rPh>
    <phoneticPr fontId="1"/>
  </si>
  <si>
    <t>－</t>
    <phoneticPr fontId="1"/>
  </si>
  <si>
    <t>建設費</t>
    <rPh sb="0" eb="3">
      <t>ケンセツヒ</t>
    </rPh>
    <phoneticPr fontId="1"/>
  </si>
  <si>
    <t>維持管理費</t>
    <rPh sb="0" eb="2">
      <t>イジ</t>
    </rPh>
    <rPh sb="2" eb="5">
      <t>カンリヒ</t>
    </rPh>
    <phoneticPr fontId="1"/>
  </si>
  <si>
    <t>汚泥処理費</t>
    <rPh sb="0" eb="2">
      <t>オデイ</t>
    </rPh>
    <rPh sb="2" eb="4">
      <t>ショリ</t>
    </rPh>
    <rPh sb="4" eb="5">
      <t>ヒ</t>
    </rPh>
    <phoneticPr fontId="1"/>
  </si>
  <si>
    <t>運転経費</t>
    <rPh sb="0" eb="2">
      <t>ウンテン</t>
    </rPh>
    <rPh sb="2" eb="4">
      <t>ケイヒ</t>
    </rPh>
    <phoneticPr fontId="1"/>
  </si>
  <si>
    <t>人件費</t>
    <rPh sb="0" eb="3">
      <t>ジンケンヒ</t>
    </rPh>
    <phoneticPr fontId="1"/>
  </si>
  <si>
    <t>補修費</t>
    <rPh sb="0" eb="2">
      <t>ホシュウ</t>
    </rPh>
    <rPh sb="2" eb="3">
      <t>ヒ</t>
    </rPh>
    <phoneticPr fontId="1"/>
  </si>
  <si>
    <t>燃料費</t>
    <rPh sb="0" eb="2">
      <t>ネンリョウ</t>
    </rPh>
    <rPh sb="2" eb="3">
      <t>ヒ</t>
    </rPh>
    <phoneticPr fontId="1"/>
  </si>
  <si>
    <t>電力費</t>
    <rPh sb="0" eb="2">
      <t>デンリョク</t>
    </rPh>
    <rPh sb="2" eb="3">
      <t>ヒ</t>
    </rPh>
    <phoneticPr fontId="1"/>
  </si>
  <si>
    <t>薬品※1単価[円/kg]</t>
  </si>
  <si>
    <t>③、X1:投入汚泥固形物量[kg-ds/h]=253</t>
    <rPh sb="5" eb="7">
      <t>トウニュウ</t>
    </rPh>
    <rPh sb="7" eb="9">
      <t>オデイ</t>
    </rPh>
    <rPh sb="9" eb="12">
      <t>コケイブツ</t>
    </rPh>
    <rPh sb="12" eb="13">
      <t>リョウ</t>
    </rPh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</si>
  <si>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c3-2</t>
    </r>
    <r>
      <rPr>
        <sz val="11"/>
        <color theme="1"/>
        <rFont val="游ゴシック"/>
        <family val="3"/>
        <charset val="128"/>
        <scheme val="minor"/>
      </rPr>
      <t>=202.32×X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vertAlign val="superscript"/>
        <sz val="11"/>
        <color theme="1"/>
        <rFont val="游ゴシック"/>
        <family val="3"/>
        <charset val="128"/>
        <scheme val="minor"/>
      </rPr>
      <t>0.4541</t>
    </r>
    <r>
      <rPr>
        <sz val="11"/>
        <color theme="1"/>
        <rFont val="游ゴシック"/>
        <family val="3"/>
        <charset val="128"/>
        <scheme val="minor"/>
      </rPr>
      <t>×10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</si>
  <si>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c3-4</t>
    </r>
    <r>
      <rPr>
        <sz val="11"/>
        <color theme="1"/>
        <rFont val="游ゴシック"/>
        <family val="3"/>
        <charset val="128"/>
        <scheme val="minor"/>
      </rPr>
      <t>=41.0×X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3"/>
        <charset val="128"/>
        <scheme val="minor"/>
      </rPr>
      <t>×10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</si>
  <si>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c3-1</t>
    </r>
    <r>
      <rPr>
        <sz val="11"/>
        <color theme="1"/>
        <rFont val="游ゴシック"/>
        <family val="3"/>
        <charset val="128"/>
        <scheme val="minor"/>
      </rPr>
      <t>=17.144×X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vertAlign val="superscript"/>
        <sz val="11"/>
        <color theme="1"/>
        <rFont val="游ゴシック"/>
        <family val="3"/>
        <charset val="128"/>
        <scheme val="minor"/>
      </rPr>
      <t>0.8866</t>
    </r>
    <r>
      <rPr>
        <sz val="11"/>
        <color theme="1"/>
        <rFont val="游ゴシック"/>
        <family val="3"/>
        <charset val="128"/>
        <scheme val="minor"/>
      </rPr>
      <t>×10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phoneticPr fontId="1"/>
  </si>
  <si>
    <t>合計</t>
    <rPh sb="0" eb="2">
      <t>ゴウケイ</t>
    </rPh>
    <phoneticPr fontId="1"/>
  </si>
  <si>
    <t>運転経費合計</t>
    <rPh sb="0" eb="2">
      <t>ウンテン</t>
    </rPh>
    <rPh sb="2" eb="4">
      <t>ケイヒ</t>
    </rPh>
    <rPh sb="4" eb="6">
      <t>ゴウケイ</t>
    </rPh>
    <phoneticPr fontId="1"/>
  </si>
  <si>
    <t>ー</t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</si>
  <si>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c3-3</t>
    </r>
    <r>
      <rPr>
        <sz val="11"/>
        <color theme="1"/>
        <rFont val="游ゴシック"/>
        <family val="3"/>
        <charset val="128"/>
        <scheme val="minor"/>
      </rPr>
      <t>=66.755×X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vertAlign val="superscript"/>
        <sz val="11"/>
        <color theme="1"/>
        <rFont val="游ゴシック"/>
        <family val="3"/>
        <charset val="128"/>
        <scheme val="minor"/>
      </rPr>
      <t>0.8298</t>
    </r>
    <r>
      <rPr>
        <sz val="11"/>
        <color theme="1"/>
        <rFont val="游ゴシック"/>
        <family val="3"/>
        <charset val="128"/>
        <scheme val="minor"/>
      </rPr>
      <t>×10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phoneticPr fontId="1"/>
  </si>
  <si>
    <t>全量外部委託</t>
    <rPh sb="0" eb="2">
      <t>ゼンリョウ</t>
    </rPh>
    <rPh sb="2" eb="4">
      <t>ガイブ</t>
    </rPh>
    <rPh sb="4" eb="6">
      <t>イタク</t>
    </rPh>
    <phoneticPr fontId="1"/>
  </si>
  <si>
    <t>維持管理費</t>
    <rPh sb="0" eb="2">
      <t>イジ</t>
    </rPh>
    <rPh sb="2" eb="5">
      <t>カンリヒ</t>
    </rPh>
    <phoneticPr fontId="1"/>
  </si>
  <si>
    <t>汚泥処理費</t>
    <rPh sb="0" eb="2">
      <t>オデイ</t>
    </rPh>
    <rPh sb="2" eb="4">
      <t>ショリ</t>
    </rPh>
    <rPh sb="4" eb="5">
      <t>ヒ</t>
    </rPh>
    <phoneticPr fontId="1"/>
  </si>
  <si>
    <r>
      <t>C</t>
    </r>
    <r>
      <rPr>
        <vertAlign val="subscript"/>
        <sz val="11"/>
        <color theme="1"/>
        <rFont val="游ゴシック"/>
        <family val="3"/>
        <charset val="128"/>
        <scheme val="minor"/>
      </rPr>
      <t>cws</t>
    </r>
    <r>
      <rPr>
        <sz val="11"/>
        <color theme="1"/>
        <rFont val="游ゴシック"/>
        <family val="2"/>
        <charset val="128"/>
        <scheme val="minor"/>
      </rPr>
      <t>=U</t>
    </r>
    <r>
      <rPr>
        <vertAlign val="subscript"/>
        <sz val="11"/>
        <color theme="1"/>
        <rFont val="游ゴシック"/>
        <family val="3"/>
        <charset val="128"/>
        <scheme val="minor"/>
      </rPr>
      <t>cws</t>
    </r>
    <r>
      <rPr>
        <sz val="11"/>
        <color theme="1"/>
        <rFont val="游ゴシック"/>
        <family val="2"/>
        <charset val="128"/>
        <scheme val="minor"/>
      </rPr>
      <t>×X</t>
    </r>
    <r>
      <rPr>
        <vertAlign val="subscript"/>
        <sz val="11"/>
        <color theme="1"/>
        <rFont val="游ゴシック"/>
        <family val="3"/>
        <charset val="128"/>
        <scheme val="minor"/>
      </rPr>
      <t>y</t>
    </r>
    <r>
      <rPr>
        <sz val="11"/>
        <color theme="1"/>
        <rFont val="游ゴシック"/>
        <family val="2"/>
        <charset val="128"/>
        <scheme val="minor"/>
      </rPr>
      <t>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phoneticPr fontId="1"/>
  </si>
  <si>
    <t>⑰</t>
    <phoneticPr fontId="1"/>
  </si>
  <si>
    <r>
      <t>U</t>
    </r>
    <r>
      <rPr>
        <vertAlign val="subscript"/>
        <sz val="11"/>
        <rFont val="游ゴシック"/>
        <family val="3"/>
        <charset val="128"/>
        <scheme val="minor"/>
      </rPr>
      <t>cws</t>
    </r>
    <r>
      <rPr>
        <sz val="11"/>
        <rFont val="游ゴシック"/>
        <family val="2"/>
        <charset val="128"/>
        <scheme val="minor"/>
      </rPr>
      <t>：脱水汚泥外部委託処理単価[円/t-wet]</t>
    </r>
    <rPh sb="5" eb="7">
      <t>ダッスイ</t>
    </rPh>
    <rPh sb="7" eb="9">
      <t>オデイ</t>
    </rPh>
    <rPh sb="9" eb="11">
      <t>ガイブ</t>
    </rPh>
    <rPh sb="11" eb="13">
      <t>イタク</t>
    </rPh>
    <rPh sb="13" eb="15">
      <t>ショリ</t>
    </rPh>
    <rPh sb="15" eb="17">
      <t>タンカ</t>
    </rPh>
    <rPh sb="18" eb="19">
      <t>エン</t>
    </rPh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</si>
  <si>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</si>
  <si>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</si>
  <si>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</si>
  <si>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</si>
  <si>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</si>
  <si>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小型乾燥機</t>
    <rPh sb="0" eb="2">
      <t>コガタ</t>
    </rPh>
    <rPh sb="2" eb="5">
      <t>カンソウキ</t>
    </rPh>
    <phoneticPr fontId="1"/>
  </si>
  <si>
    <t>建設費</t>
    <rPh sb="0" eb="3">
      <t>ケンセツヒ</t>
    </rPh>
    <phoneticPr fontId="1"/>
  </si>
  <si>
    <t>土木建築費</t>
    <rPh sb="0" eb="2">
      <t>ドボク</t>
    </rPh>
    <rPh sb="2" eb="5">
      <t>ケンチクヒ</t>
    </rPh>
    <phoneticPr fontId="1"/>
  </si>
  <si>
    <t>β：建設工事費デフレータ</t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</si>
  <si>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c1</t>
    </r>
    <r>
      <rPr>
        <sz val="11"/>
        <color theme="1"/>
        <rFont val="游ゴシック"/>
        <family val="3"/>
        <charset val="128"/>
        <scheme val="minor"/>
      </rPr>
      <t>=344.3×β</t>
    </r>
    <phoneticPr fontId="1"/>
  </si>
  <si>
    <t>⑨</t>
    <phoneticPr fontId="1"/>
  </si>
  <si>
    <r>
      <t>年価=Y</t>
    </r>
    <r>
      <rPr>
        <vertAlign val="subscript"/>
        <sz val="11"/>
        <color theme="1"/>
        <rFont val="游ゴシック"/>
        <family val="3"/>
        <charset val="128"/>
        <scheme val="minor"/>
      </rPr>
      <t>C1</t>
    </r>
    <r>
      <rPr>
        <sz val="11"/>
        <color theme="1"/>
        <rFont val="游ゴシック"/>
        <family val="3"/>
        <charset val="128"/>
        <scheme val="minor"/>
      </rPr>
      <t>×α1</t>
    </r>
    <rPh sb="0" eb="1">
      <t>ネン</t>
    </rPh>
    <rPh sb="1" eb="2">
      <t>カ</t>
    </rPh>
    <phoneticPr fontId="1"/>
  </si>
  <si>
    <t>⑱</t>
    <phoneticPr fontId="1"/>
  </si>
  <si>
    <t>⑲、耐用年数45年としてα1=0.03590</t>
    <rPh sb="2" eb="4">
      <t>タイヨウ</t>
    </rPh>
    <rPh sb="4" eb="6">
      <t>ネンスウ</t>
    </rPh>
    <rPh sb="8" eb="9">
      <t>ネン</t>
    </rPh>
    <phoneticPr fontId="1"/>
  </si>
  <si>
    <t>電機建設費</t>
    <rPh sb="0" eb="2">
      <t>デンキ</t>
    </rPh>
    <rPh sb="2" eb="5">
      <t>ケンセツヒ</t>
    </rPh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</si>
  <si>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c2</t>
    </r>
    <r>
      <rPr>
        <sz val="11"/>
        <color theme="1"/>
        <rFont val="游ゴシック"/>
        <family val="3"/>
        <charset val="128"/>
        <scheme val="minor"/>
      </rPr>
      <t>=493</t>
    </r>
    <phoneticPr fontId="1"/>
  </si>
  <si>
    <t>⑳</t>
    <phoneticPr fontId="1"/>
  </si>
  <si>
    <r>
      <t>年価=Y</t>
    </r>
    <r>
      <rPr>
        <vertAlign val="subscript"/>
        <sz val="11"/>
        <color theme="1"/>
        <rFont val="游ゴシック"/>
        <family val="3"/>
        <charset val="128"/>
        <scheme val="minor"/>
      </rPr>
      <t>c2</t>
    </r>
    <r>
      <rPr>
        <sz val="11"/>
        <color theme="1"/>
        <rFont val="游ゴシック"/>
        <family val="3"/>
        <charset val="128"/>
        <scheme val="minor"/>
      </rPr>
      <t>×α2</t>
    </r>
    <rPh sb="0" eb="1">
      <t>ネン</t>
    </rPh>
    <rPh sb="1" eb="2">
      <t>カ</t>
    </rPh>
    <phoneticPr fontId="1"/>
  </si>
  <si>
    <t>⑤、X1:投入汚泥固形物量[kg-ds/h]=253</t>
    <phoneticPr fontId="1"/>
  </si>
  <si>
    <t>㉑、耐用年数20年としてα2=0.06294</t>
    <phoneticPr fontId="1"/>
  </si>
  <si>
    <r>
      <t>年価=Y</t>
    </r>
    <r>
      <rPr>
        <vertAlign val="subscript"/>
        <sz val="11"/>
        <color theme="1"/>
        <rFont val="游ゴシック"/>
        <family val="3"/>
        <charset val="128"/>
        <scheme val="minor"/>
      </rPr>
      <t>c3</t>
    </r>
    <r>
      <rPr>
        <sz val="11"/>
        <color theme="1"/>
        <rFont val="游ゴシック"/>
        <family val="2"/>
        <charset val="128"/>
        <scheme val="minor"/>
      </rPr>
      <t>×α3</t>
    </r>
    <rPh sb="0" eb="1">
      <t>ネン</t>
    </rPh>
    <rPh sb="1" eb="2">
      <t>カ</t>
    </rPh>
    <phoneticPr fontId="1"/>
  </si>
  <si>
    <t>㉒</t>
    <phoneticPr fontId="1"/>
  </si>
  <si>
    <t>㉓、耐用年数20年としてα3=0.06294</t>
    <phoneticPr fontId="1"/>
  </si>
  <si>
    <t>建設費合計</t>
    <rPh sb="0" eb="3">
      <t>ケンセツヒ</t>
    </rPh>
    <rPh sb="3" eb="5">
      <t>ゴウケイ</t>
    </rPh>
    <phoneticPr fontId="1"/>
  </si>
  <si>
    <t>建設費年価</t>
    <rPh sb="0" eb="3">
      <t>ケンセツヒ</t>
    </rPh>
    <rPh sb="3" eb="4">
      <t>ネン</t>
    </rPh>
    <rPh sb="4" eb="5">
      <t>カ</t>
    </rPh>
    <phoneticPr fontId="1"/>
  </si>
  <si>
    <t>百万円</t>
    <rPh sb="0" eb="3">
      <t>ヒャクマンエン</t>
    </rPh>
    <phoneticPr fontId="1"/>
  </si>
  <si>
    <t>㉔：⑱+⑳+㉒</t>
    <phoneticPr fontId="1"/>
  </si>
  <si>
    <t>⑦：①＋③＋⑤</t>
    <phoneticPr fontId="1"/>
  </si>
  <si>
    <t>⑧：②＋④＋⑥</t>
    <phoneticPr fontId="1"/>
  </si>
  <si>
    <t>⑮：⑩+⑪+⑫+⑬+⑭</t>
    <phoneticPr fontId="1"/>
  </si>
  <si>
    <t>⑯：⑧+⑨+⑮</t>
    <phoneticPr fontId="1"/>
  </si>
  <si>
    <t>㉕：⑲+㉑+㉓</t>
    <phoneticPr fontId="1"/>
  </si>
  <si>
    <t>電力費</t>
    <rPh sb="0" eb="2">
      <t>デンリョク</t>
    </rPh>
    <rPh sb="2" eb="3">
      <t>ヒ</t>
    </rPh>
    <phoneticPr fontId="1"/>
  </si>
  <si>
    <t>燃料費</t>
    <rPh sb="0" eb="2">
      <t>ネンリョウ</t>
    </rPh>
    <rPh sb="2" eb="3">
      <t>ヒ</t>
    </rPh>
    <phoneticPr fontId="1"/>
  </si>
  <si>
    <t>補修費</t>
    <rPh sb="0" eb="2">
      <t>ホシュウ</t>
    </rPh>
    <rPh sb="2" eb="3">
      <t>ヒ</t>
    </rPh>
    <phoneticPr fontId="1"/>
  </si>
  <si>
    <t>人件費</t>
    <rPh sb="0" eb="3">
      <t>ジンケンヒ</t>
    </rPh>
    <phoneticPr fontId="1"/>
  </si>
  <si>
    <r>
      <t>F</t>
    </r>
    <r>
      <rPr>
        <vertAlign val="subscript"/>
        <sz val="11"/>
        <rFont val="游ゴシック"/>
        <family val="3"/>
        <charset val="128"/>
        <scheme val="minor"/>
      </rPr>
      <t>2y-1</t>
    </r>
    <r>
      <rPr>
        <sz val="11"/>
        <rFont val="游ゴシック"/>
        <family val="3"/>
        <charset val="128"/>
        <scheme val="minor"/>
      </rPr>
      <t>：乾燥汚泥生産量(従来)[t-wet/年]</t>
    </r>
    <rPh sb="6" eb="8">
      <t>カンソウ</t>
    </rPh>
    <rPh sb="8" eb="10">
      <t>オデイ</t>
    </rPh>
    <rPh sb="10" eb="12">
      <t>セイサン</t>
    </rPh>
    <rPh sb="12" eb="13">
      <t>リョウ</t>
    </rPh>
    <rPh sb="14" eb="16">
      <t>ジュウライ</t>
    </rPh>
    <rPh sb="24" eb="25">
      <t>ネン</t>
    </rPh>
    <phoneticPr fontId="1"/>
  </si>
  <si>
    <r>
      <t>W</t>
    </r>
    <r>
      <rPr>
        <vertAlign val="subscript"/>
        <sz val="11"/>
        <rFont val="游ゴシック"/>
        <family val="3"/>
        <charset val="128"/>
        <scheme val="minor"/>
      </rPr>
      <t>y-1</t>
    </r>
    <r>
      <rPr>
        <sz val="11"/>
        <rFont val="游ゴシック"/>
        <family val="3"/>
        <charset val="128"/>
        <scheme val="minor"/>
      </rPr>
      <t>：水分蒸発量(従来)[t/年]</t>
    </r>
    <rPh sb="5" eb="7">
      <t>スイブン</t>
    </rPh>
    <rPh sb="7" eb="9">
      <t>ジョウハツ</t>
    </rPh>
    <rPh sb="9" eb="10">
      <t>リョウ</t>
    </rPh>
    <rPh sb="11" eb="13">
      <t>ジュウライ</t>
    </rPh>
    <rPh sb="17" eb="18">
      <t>ネン</t>
    </rPh>
    <phoneticPr fontId="1"/>
  </si>
  <si>
    <r>
      <t>F</t>
    </r>
    <r>
      <rPr>
        <vertAlign val="subscript"/>
        <sz val="11"/>
        <rFont val="游ゴシック"/>
        <family val="3"/>
        <charset val="128"/>
        <scheme val="minor"/>
      </rPr>
      <t>2y-2</t>
    </r>
    <r>
      <rPr>
        <sz val="11"/>
        <rFont val="游ゴシック"/>
        <family val="3"/>
        <charset val="128"/>
        <scheme val="minor"/>
      </rPr>
      <t>：乾燥汚泥生産量(革新)[t-wet/年]</t>
    </r>
    <rPh sb="6" eb="8">
      <t>カンソウ</t>
    </rPh>
    <rPh sb="8" eb="10">
      <t>オデイ</t>
    </rPh>
    <rPh sb="10" eb="12">
      <t>セイサン</t>
    </rPh>
    <rPh sb="12" eb="13">
      <t>リョウ</t>
    </rPh>
    <rPh sb="14" eb="16">
      <t>カクシン</t>
    </rPh>
    <rPh sb="24" eb="25">
      <t>ネン</t>
    </rPh>
    <phoneticPr fontId="1"/>
  </si>
  <si>
    <r>
      <t>W</t>
    </r>
    <r>
      <rPr>
        <vertAlign val="subscript"/>
        <sz val="11"/>
        <rFont val="游ゴシック"/>
        <family val="3"/>
        <charset val="128"/>
        <scheme val="minor"/>
      </rPr>
      <t>y-2</t>
    </r>
    <r>
      <rPr>
        <sz val="11"/>
        <rFont val="游ゴシック"/>
        <family val="3"/>
        <charset val="128"/>
        <scheme val="minor"/>
      </rPr>
      <t>：水分蒸発量(革新)[t/年]</t>
    </r>
    <rPh sb="5" eb="7">
      <t>スイブン</t>
    </rPh>
    <rPh sb="7" eb="9">
      <t>ジョウハツ</t>
    </rPh>
    <rPh sb="9" eb="10">
      <t>リョウ</t>
    </rPh>
    <rPh sb="11" eb="13">
      <t>カクシン</t>
    </rPh>
    <rPh sb="17" eb="18">
      <t>ネン</t>
    </rPh>
    <phoneticPr fontId="1"/>
  </si>
  <si>
    <r>
      <t>X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：年間固形物汚泥量(従来,革新)[t-ds/年]</t>
    </r>
    <rPh sb="3" eb="5">
      <t>ネンカン</t>
    </rPh>
    <rPh sb="5" eb="8">
      <t>コケイブツ</t>
    </rPh>
    <rPh sb="8" eb="10">
      <t>オデイ</t>
    </rPh>
    <rPh sb="10" eb="11">
      <t>リョウ</t>
    </rPh>
    <rPh sb="12" eb="14">
      <t>ジュウライ</t>
    </rPh>
    <rPh sb="15" eb="17">
      <t>カクシン</t>
    </rPh>
    <rPh sb="24" eb="25">
      <t>ネン</t>
    </rPh>
    <phoneticPr fontId="1"/>
  </si>
  <si>
    <r>
      <t>C</t>
    </r>
    <r>
      <rPr>
        <vertAlign val="subscript"/>
        <sz val="11"/>
        <color theme="1"/>
        <rFont val="游ゴシック"/>
        <family val="3"/>
        <charset val="128"/>
        <scheme val="minor"/>
      </rPr>
      <t>cds</t>
    </r>
    <r>
      <rPr>
        <sz val="11"/>
        <color theme="1"/>
        <rFont val="游ゴシック"/>
        <family val="3"/>
        <charset val="128"/>
        <scheme val="minor"/>
      </rPr>
      <t>=U</t>
    </r>
    <r>
      <rPr>
        <vertAlign val="subscript"/>
        <sz val="11"/>
        <color theme="1"/>
        <rFont val="游ゴシック"/>
        <family val="3"/>
        <charset val="128"/>
        <scheme val="minor"/>
      </rPr>
      <t>cds</t>
    </r>
    <r>
      <rPr>
        <sz val="11"/>
        <color theme="1"/>
        <rFont val="游ゴシック"/>
        <family val="3"/>
        <charset val="128"/>
        <scheme val="minor"/>
      </rPr>
      <t>×F</t>
    </r>
    <r>
      <rPr>
        <vertAlign val="subscript"/>
        <sz val="11"/>
        <color theme="1"/>
        <rFont val="游ゴシック"/>
        <family val="3"/>
        <charset val="128"/>
        <scheme val="minor"/>
      </rPr>
      <t>2y-1</t>
    </r>
    <r>
      <rPr>
        <sz val="11"/>
        <color theme="1"/>
        <rFont val="游ゴシック"/>
        <family val="3"/>
        <charset val="128"/>
        <scheme val="minor"/>
      </rPr>
      <t>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</si>
  <si>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c3-5</t>
    </r>
    <r>
      <rPr>
        <sz val="11"/>
        <color theme="1"/>
        <rFont val="游ゴシック"/>
        <family val="3"/>
        <charset val="128"/>
        <scheme val="minor"/>
      </rPr>
      <t>=1.3×W</t>
    </r>
    <r>
      <rPr>
        <vertAlign val="subscript"/>
        <sz val="11"/>
        <color theme="1"/>
        <rFont val="游ゴシック"/>
        <family val="3"/>
        <charset val="128"/>
        <scheme val="minor"/>
      </rPr>
      <t>y-1</t>
    </r>
    <r>
      <rPr>
        <sz val="11"/>
        <color theme="1"/>
        <rFont val="游ゴシック"/>
        <family val="3"/>
        <charset val="128"/>
        <scheme val="minor"/>
      </rPr>
      <t>/6003</t>
    </r>
    <phoneticPr fontId="1"/>
  </si>
  <si>
    <r>
      <t>C</t>
    </r>
    <r>
      <rPr>
        <vertAlign val="subscript"/>
        <sz val="11"/>
        <color theme="1"/>
        <rFont val="游ゴシック"/>
        <family val="3"/>
        <charset val="128"/>
        <scheme val="minor"/>
      </rPr>
      <t>cds</t>
    </r>
    <r>
      <rPr>
        <sz val="11"/>
        <color theme="1"/>
        <rFont val="游ゴシック"/>
        <family val="3"/>
        <charset val="128"/>
        <scheme val="minor"/>
      </rPr>
      <t>=U</t>
    </r>
    <r>
      <rPr>
        <vertAlign val="subscript"/>
        <sz val="11"/>
        <color theme="1"/>
        <rFont val="游ゴシック"/>
        <family val="3"/>
        <charset val="128"/>
        <scheme val="minor"/>
      </rPr>
      <t>cds</t>
    </r>
    <r>
      <rPr>
        <sz val="11"/>
        <color theme="1"/>
        <rFont val="游ゴシック"/>
        <family val="3"/>
        <charset val="128"/>
        <scheme val="minor"/>
      </rPr>
      <t>×F</t>
    </r>
    <r>
      <rPr>
        <vertAlign val="subscript"/>
        <sz val="11"/>
        <color theme="1"/>
        <rFont val="游ゴシック"/>
        <family val="3"/>
        <charset val="128"/>
        <scheme val="minor"/>
      </rPr>
      <t>2y-2</t>
    </r>
    <r>
      <rPr>
        <sz val="11"/>
        <color theme="1"/>
        <rFont val="游ゴシック"/>
        <family val="3"/>
        <charset val="128"/>
        <scheme val="minor"/>
      </rPr>
      <t>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phoneticPr fontId="1"/>
  </si>
  <si>
    <t>㉖</t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</si>
  <si>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c3-4</t>
    </r>
    <r>
      <rPr>
        <sz val="11"/>
        <color theme="1"/>
        <rFont val="游ゴシック"/>
        <family val="3"/>
        <charset val="128"/>
        <scheme val="minor"/>
      </rPr>
      <t>=29.9×W</t>
    </r>
    <r>
      <rPr>
        <vertAlign val="subscript"/>
        <sz val="11"/>
        <color theme="1"/>
        <rFont val="游ゴシック"/>
        <family val="3"/>
        <charset val="128"/>
        <scheme val="minor"/>
      </rPr>
      <t>y-2</t>
    </r>
    <r>
      <rPr>
        <sz val="11"/>
        <color theme="1"/>
        <rFont val="游ゴシック"/>
        <family val="3"/>
        <charset val="128"/>
        <scheme val="minor"/>
      </rPr>
      <t>/6003</t>
    </r>
    <phoneticPr fontId="1"/>
  </si>
  <si>
    <t>㉗</t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</si>
  <si>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c3-4</t>
    </r>
    <r>
      <rPr>
        <sz val="11"/>
        <color theme="1"/>
        <rFont val="游ゴシック"/>
        <family val="3"/>
        <charset val="128"/>
        <scheme val="minor"/>
      </rPr>
      <t>=9.2×W</t>
    </r>
    <r>
      <rPr>
        <vertAlign val="subscript"/>
        <sz val="11"/>
        <color theme="1"/>
        <rFont val="游ゴシック"/>
        <family val="3"/>
        <charset val="128"/>
        <scheme val="minor"/>
      </rPr>
      <t>y-2</t>
    </r>
    <r>
      <rPr>
        <sz val="11"/>
        <color theme="1"/>
        <rFont val="游ゴシック"/>
        <family val="3"/>
        <charset val="128"/>
        <scheme val="minor"/>
      </rPr>
      <t>/6003</t>
    </r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</si>
  <si>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c3-1</t>
    </r>
    <r>
      <rPr>
        <sz val="11"/>
        <color theme="1"/>
        <rFont val="游ゴシック"/>
        <family val="3"/>
        <charset val="128"/>
        <scheme val="minor"/>
      </rPr>
      <t>=Y</t>
    </r>
    <r>
      <rPr>
        <vertAlign val="subscript"/>
        <sz val="11"/>
        <color theme="1"/>
        <rFont val="游ゴシック"/>
        <family val="3"/>
        <charset val="128"/>
        <scheme val="minor"/>
      </rPr>
      <t>c2</t>
    </r>
    <r>
      <rPr>
        <sz val="11"/>
        <color theme="1"/>
        <rFont val="游ゴシック"/>
        <family val="3"/>
        <charset val="128"/>
        <scheme val="minor"/>
      </rPr>
      <t>×3.3%</t>
    </r>
    <phoneticPr fontId="1"/>
  </si>
  <si>
    <t>㉘</t>
    <phoneticPr fontId="1"/>
  </si>
  <si>
    <t>㉙</t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</si>
  <si>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c3-5</t>
    </r>
    <r>
      <rPr>
        <sz val="11"/>
        <color theme="1"/>
        <rFont val="游ゴシック"/>
        <family val="3"/>
        <charset val="128"/>
        <scheme val="minor"/>
      </rPr>
      <t>=1.3×Wy/6003</t>
    </r>
    <phoneticPr fontId="1"/>
  </si>
  <si>
    <t>㉚</t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</si>
  <si>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c3-3</t>
    </r>
    <r>
      <rPr>
        <sz val="11"/>
        <color theme="1"/>
        <rFont val="游ゴシック"/>
        <family val="3"/>
        <charset val="128"/>
        <scheme val="minor"/>
      </rPr>
      <t>=5.6</t>
    </r>
    <phoneticPr fontId="1"/>
  </si>
  <si>
    <t>㉛</t>
    <phoneticPr fontId="1"/>
  </si>
  <si>
    <t>㉜：㉗+㉘+㉙+㉚+㉛</t>
    <phoneticPr fontId="1"/>
  </si>
  <si>
    <t>解体・廃棄費（参考値）</t>
    <rPh sb="0" eb="2">
      <t>カイタイ</t>
    </rPh>
    <rPh sb="3" eb="5">
      <t>ハイキ</t>
    </rPh>
    <rPh sb="5" eb="6">
      <t>ヒ</t>
    </rPh>
    <rPh sb="7" eb="9">
      <t>サンコウ</t>
    </rPh>
    <rPh sb="9" eb="10">
      <t>チ</t>
    </rPh>
    <phoneticPr fontId="1"/>
  </si>
  <si>
    <t>㉝</t>
    <phoneticPr fontId="1"/>
  </si>
  <si>
    <t>総費用(年価換算値)</t>
    <phoneticPr fontId="1"/>
  </si>
  <si>
    <t>ー</t>
    <phoneticPr fontId="1"/>
  </si>
  <si>
    <t>ー</t>
    <phoneticPr fontId="1"/>
  </si>
  <si>
    <t>ー</t>
    <phoneticPr fontId="1"/>
  </si>
  <si>
    <t>㉞</t>
    <phoneticPr fontId="1"/>
  </si>
  <si>
    <r>
      <t>U</t>
    </r>
    <r>
      <rPr>
        <vertAlign val="subscript"/>
        <sz val="11"/>
        <rFont val="游ゴシック"/>
        <family val="3"/>
        <charset val="128"/>
        <scheme val="minor"/>
      </rPr>
      <t>cds</t>
    </r>
    <r>
      <rPr>
        <sz val="11"/>
        <rFont val="游ゴシック"/>
        <family val="2"/>
        <charset val="128"/>
        <scheme val="minor"/>
      </rPr>
      <t>：乾燥汚泥外部委託処理単価[円/t-wet]</t>
    </r>
    <rPh sb="5" eb="7">
      <t>カンソウ</t>
    </rPh>
    <rPh sb="7" eb="9">
      <t>オデイ</t>
    </rPh>
    <rPh sb="9" eb="11">
      <t>ガイブ</t>
    </rPh>
    <rPh sb="11" eb="13">
      <t>イタク</t>
    </rPh>
    <rPh sb="13" eb="15">
      <t>ショリ</t>
    </rPh>
    <rPh sb="15" eb="17">
      <t>タンカ</t>
    </rPh>
    <rPh sb="18" eb="19">
      <t>エン</t>
    </rPh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</si>
  <si>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</t>
    </r>
    <r>
      <rPr>
        <sz val="11"/>
        <color theme="1"/>
        <rFont val="游ゴシック"/>
        <family val="2"/>
        <charset val="128"/>
        <scheme val="minor"/>
      </rPr>
      <t>=209.2</t>
    </r>
    <phoneticPr fontId="1"/>
  </si>
  <si>
    <t>総費用（年価換算値）削減効果</t>
    <phoneticPr fontId="1"/>
  </si>
  <si>
    <t>従来技術vs革新的技術</t>
    <rPh sb="0" eb="2">
      <t>ジュウライ</t>
    </rPh>
    <rPh sb="2" eb="4">
      <t>ギジュツ</t>
    </rPh>
    <rPh sb="6" eb="9">
      <t>カクシンテキ</t>
    </rPh>
    <rPh sb="9" eb="11">
      <t>ギジュツ</t>
    </rPh>
    <phoneticPr fontId="1"/>
  </si>
  <si>
    <t>全量外部委託vs革新的技術</t>
    <rPh sb="0" eb="2">
      <t>ゼンリョウ</t>
    </rPh>
    <rPh sb="2" eb="4">
      <t>ガイブ</t>
    </rPh>
    <rPh sb="4" eb="6">
      <t>イタク</t>
    </rPh>
    <rPh sb="8" eb="11">
      <t>カクシンテキ</t>
    </rPh>
    <rPh sb="11" eb="13">
      <t>ギジュツ</t>
    </rPh>
    <phoneticPr fontId="1"/>
  </si>
  <si>
    <t>㉟：(1-㉞/⑯)×100%</t>
    <phoneticPr fontId="1"/>
  </si>
  <si>
    <t>㊱：(1-㉞/⑰)×100%</t>
    <phoneticPr fontId="1"/>
  </si>
  <si>
    <t>機械設備</t>
    <rPh sb="0" eb="2">
      <t>キカイ</t>
    </rPh>
    <rPh sb="2" eb="4">
      <t>セツビ</t>
    </rPh>
    <phoneticPr fontId="1"/>
  </si>
  <si>
    <t>土木建築設備</t>
    <rPh sb="0" eb="2">
      <t>ドボク</t>
    </rPh>
    <rPh sb="2" eb="4">
      <t>ケンチク</t>
    </rPh>
    <rPh sb="4" eb="6">
      <t>セツビ</t>
    </rPh>
    <phoneticPr fontId="1"/>
  </si>
  <si>
    <t>建設費の年価換算係数</t>
    <rPh sb="0" eb="2">
      <t>ケンセツ</t>
    </rPh>
    <rPh sb="2" eb="3">
      <t>ヒ</t>
    </rPh>
    <rPh sb="4" eb="5">
      <t>ネン</t>
    </rPh>
    <rPh sb="5" eb="6">
      <t>カ</t>
    </rPh>
    <rPh sb="6" eb="8">
      <t>カンザン</t>
    </rPh>
    <rPh sb="8" eb="10">
      <t>ケイスウ</t>
    </rPh>
    <phoneticPr fontId="1"/>
  </si>
  <si>
    <t>α1：土木建築設備</t>
    <rPh sb="3" eb="5">
      <t>ドボク</t>
    </rPh>
    <rPh sb="5" eb="7">
      <t>ケンチク</t>
    </rPh>
    <rPh sb="7" eb="9">
      <t>セツビ</t>
    </rPh>
    <phoneticPr fontId="1"/>
  </si>
  <si>
    <t>α2：機械設備</t>
    <rPh sb="3" eb="5">
      <t>キカイ</t>
    </rPh>
    <rPh sb="5" eb="7">
      <t>セツビ</t>
    </rPh>
    <phoneticPr fontId="1"/>
  </si>
  <si>
    <t>α3：電気設備</t>
    <rPh sb="3" eb="5">
      <t>デンキ</t>
    </rPh>
    <rPh sb="5" eb="7">
      <t>セツビ</t>
    </rPh>
    <phoneticPr fontId="1"/>
  </si>
  <si>
    <t>②</t>
    <phoneticPr fontId="1"/>
  </si>
  <si>
    <t>電力</t>
    <rPh sb="0" eb="2">
      <t>デンリョク</t>
    </rPh>
    <phoneticPr fontId="1"/>
  </si>
  <si>
    <t>次亜塩素酸ソーダ</t>
    <rPh sb="0" eb="5">
      <t>ジアエンソサン</t>
    </rPh>
    <phoneticPr fontId="1"/>
  </si>
  <si>
    <t>エネルギー原単位</t>
    <rPh sb="5" eb="8">
      <t>ゲンタンイ</t>
    </rPh>
    <phoneticPr fontId="1"/>
  </si>
  <si>
    <t>MJ/kWh</t>
    <phoneticPr fontId="1"/>
  </si>
  <si>
    <t>MJ/L</t>
    <phoneticPr fontId="1"/>
  </si>
  <si>
    <t>MJ/kg</t>
    <phoneticPr fontId="1"/>
  </si>
  <si>
    <t>MJ/m3</t>
    <phoneticPr fontId="1"/>
  </si>
  <si>
    <t>MJ/t</t>
    <phoneticPr fontId="1"/>
  </si>
  <si>
    <t>CO2排出量原単位</t>
    <rPh sb="3" eb="5">
      <t>ハイシュツ</t>
    </rPh>
    <rPh sb="5" eb="6">
      <t>リョウ</t>
    </rPh>
    <rPh sb="6" eb="9">
      <t>ゲンタンイ</t>
    </rPh>
    <phoneticPr fontId="1"/>
  </si>
  <si>
    <t>t-CO2/kWh</t>
  </si>
  <si>
    <t>t-CO2/L</t>
  </si>
  <si>
    <t>t-CO2/kg</t>
  </si>
  <si>
    <t>t-CO2/m3</t>
  </si>
  <si>
    <t>t-CO2/t</t>
  </si>
  <si>
    <t>従来技術</t>
    <phoneticPr fontId="1"/>
  </si>
  <si>
    <t>従来の乾燥機</t>
    <phoneticPr fontId="1"/>
  </si>
  <si>
    <t>薬品費（上水）</t>
    <rPh sb="0" eb="2">
      <t>ヤクヒン</t>
    </rPh>
    <rPh sb="2" eb="3">
      <t>ヒ</t>
    </rPh>
    <rPh sb="4" eb="6">
      <t>ジョウスイ</t>
    </rPh>
    <phoneticPr fontId="1"/>
  </si>
  <si>
    <t>薬品費（上水）</t>
    <rPh sb="0" eb="2">
      <t>ヤクヒン</t>
    </rPh>
    <rPh sb="2" eb="3">
      <t>ヒ</t>
    </rPh>
    <rPh sb="4" eb="6">
      <t>ジョウスイ</t>
    </rPh>
    <phoneticPr fontId="1"/>
  </si>
  <si>
    <t>燃料</t>
    <rPh sb="0" eb="2">
      <t>ネンリョウ</t>
    </rPh>
    <phoneticPr fontId="1"/>
  </si>
  <si>
    <t>薬品（上水）</t>
    <rPh sb="0" eb="2">
      <t>ヤクヒン</t>
    </rPh>
    <rPh sb="3" eb="5">
      <t>ジョウスイ</t>
    </rPh>
    <phoneticPr fontId="1"/>
  </si>
  <si>
    <t>GJ/年</t>
    <rPh sb="3" eb="4">
      <t>ネン</t>
    </rPh>
    <phoneticPr fontId="1"/>
  </si>
  <si>
    <t>エネルギー</t>
    <phoneticPr fontId="1"/>
  </si>
  <si>
    <t>革新的技術</t>
    <rPh sb="0" eb="3">
      <t>カクシンテキ</t>
    </rPh>
    <rPh sb="3" eb="5">
      <t>ギジュツ</t>
    </rPh>
    <phoneticPr fontId="1"/>
  </si>
  <si>
    <t>小型乾燥機</t>
    <rPh sb="0" eb="2">
      <t>コガタ</t>
    </rPh>
    <rPh sb="2" eb="4">
      <t>カンソウ</t>
    </rPh>
    <rPh sb="4" eb="5">
      <t>キ</t>
    </rPh>
    <phoneticPr fontId="1"/>
  </si>
  <si>
    <r>
      <t>t-CO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/年</t>
    </r>
    <rPh sb="6" eb="7">
      <t>ネン</t>
    </rPh>
    <phoneticPr fontId="1"/>
  </si>
  <si>
    <t>温室効果ガス排出量</t>
    <rPh sb="0" eb="2">
      <t>オンシツ</t>
    </rPh>
    <rPh sb="2" eb="4">
      <t>コウカ</t>
    </rPh>
    <rPh sb="6" eb="8">
      <t>ハイシュツ</t>
    </rPh>
    <rPh sb="8" eb="9">
      <t>リョウ</t>
    </rPh>
    <phoneticPr fontId="1"/>
  </si>
  <si>
    <r>
      <t>E1=Y</t>
    </r>
    <r>
      <rPr>
        <vertAlign val="subscript"/>
        <sz val="11"/>
        <rFont val="游ゴシック"/>
        <family val="3"/>
        <charset val="128"/>
        <scheme val="minor"/>
      </rPr>
      <t>c3-2</t>
    </r>
    <r>
      <rPr>
        <sz val="11"/>
        <rFont val="游ゴシック"/>
        <family val="3"/>
        <charset val="128"/>
        <scheme val="minor"/>
      </rPr>
      <t>÷C</t>
    </r>
    <r>
      <rPr>
        <vertAlign val="subscript"/>
        <sz val="11"/>
        <rFont val="游ゴシック"/>
        <family val="3"/>
        <charset val="128"/>
        <scheme val="minor"/>
      </rPr>
      <t>e</t>
    </r>
    <r>
      <rPr>
        <sz val="11"/>
        <rFont val="游ゴシック"/>
        <family val="3"/>
        <charset val="128"/>
        <scheme val="minor"/>
      </rPr>
      <t>×E</t>
    </r>
    <r>
      <rPr>
        <vertAlign val="subscript"/>
        <sz val="11"/>
        <rFont val="游ゴシック"/>
        <family val="3"/>
        <charset val="128"/>
        <scheme val="minor"/>
      </rPr>
      <t>e</t>
    </r>
    <phoneticPr fontId="1"/>
  </si>
  <si>
    <r>
      <t>E</t>
    </r>
    <r>
      <rPr>
        <vertAlign val="sub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=Y</t>
    </r>
    <r>
      <rPr>
        <vertAlign val="subscript"/>
        <sz val="11"/>
        <rFont val="游ゴシック"/>
        <family val="3"/>
        <charset val="128"/>
        <scheme val="minor"/>
      </rPr>
      <t>c3-5</t>
    </r>
    <r>
      <rPr>
        <sz val="11"/>
        <rFont val="游ゴシック"/>
        <family val="3"/>
        <charset val="128"/>
        <scheme val="minor"/>
      </rPr>
      <t>÷C</t>
    </r>
    <r>
      <rPr>
        <vertAlign val="subscript"/>
        <sz val="11"/>
        <rFont val="游ゴシック"/>
        <family val="3"/>
        <charset val="128"/>
        <scheme val="minor"/>
      </rPr>
      <t>j</t>
    </r>
    <r>
      <rPr>
        <sz val="11"/>
        <rFont val="游ゴシック"/>
        <family val="3"/>
        <charset val="128"/>
        <scheme val="minor"/>
      </rPr>
      <t>÷E</t>
    </r>
    <r>
      <rPr>
        <vertAlign val="subscript"/>
        <sz val="11"/>
        <rFont val="游ゴシック"/>
        <family val="3"/>
        <charset val="128"/>
        <scheme val="minor"/>
      </rPr>
      <t>j</t>
    </r>
    <phoneticPr fontId="1"/>
  </si>
  <si>
    <r>
      <t>E2=Y</t>
    </r>
    <r>
      <rPr>
        <vertAlign val="subscript"/>
        <sz val="11"/>
        <rFont val="游ゴシック"/>
        <family val="3"/>
        <charset val="128"/>
        <scheme val="minor"/>
      </rPr>
      <t>c3-4</t>
    </r>
    <r>
      <rPr>
        <sz val="11"/>
        <rFont val="游ゴシック"/>
        <family val="3"/>
        <charset val="128"/>
        <scheme val="minor"/>
      </rPr>
      <t>÷C</t>
    </r>
    <r>
      <rPr>
        <vertAlign val="subscript"/>
        <sz val="11"/>
        <rFont val="游ゴシック"/>
        <family val="3"/>
        <charset val="128"/>
        <scheme val="minor"/>
      </rPr>
      <t>a</t>
    </r>
    <r>
      <rPr>
        <sz val="11"/>
        <rFont val="游ゴシック"/>
        <family val="3"/>
        <charset val="128"/>
        <scheme val="minor"/>
      </rPr>
      <t>×E</t>
    </r>
    <r>
      <rPr>
        <vertAlign val="subscript"/>
        <sz val="11"/>
        <rFont val="游ゴシック"/>
        <family val="3"/>
        <charset val="128"/>
        <scheme val="minor"/>
      </rPr>
      <t>l</t>
    </r>
    <phoneticPr fontId="1"/>
  </si>
  <si>
    <r>
      <t>C</t>
    </r>
    <r>
      <rPr>
        <vertAlign val="subscript"/>
        <sz val="11"/>
        <rFont val="游ゴシック"/>
        <family val="3"/>
        <charset val="128"/>
        <scheme val="minor"/>
      </rPr>
      <t>e</t>
    </r>
    <r>
      <rPr>
        <sz val="11"/>
        <rFont val="游ゴシック"/>
        <family val="2"/>
        <charset val="128"/>
        <scheme val="minor"/>
      </rPr>
      <t>：電力単価[円/kWh]</t>
    </r>
    <rPh sb="3" eb="5">
      <t>デンリョク</t>
    </rPh>
    <rPh sb="5" eb="7">
      <t>タンカ</t>
    </rPh>
    <phoneticPr fontId="1"/>
  </si>
  <si>
    <r>
      <t>C</t>
    </r>
    <r>
      <rPr>
        <vertAlign val="subscript"/>
        <sz val="11"/>
        <rFont val="游ゴシック"/>
        <family val="3"/>
        <charset val="128"/>
        <scheme val="minor"/>
      </rPr>
      <t>a</t>
    </r>
    <r>
      <rPr>
        <sz val="11"/>
        <rFont val="游ゴシック"/>
        <family val="2"/>
        <charset val="128"/>
        <scheme val="minor"/>
      </rPr>
      <t>：上水単価[円/m3]</t>
    </r>
    <phoneticPr fontId="1"/>
  </si>
  <si>
    <t>A重油単価[円/ℓ]</t>
    <phoneticPr fontId="1"/>
  </si>
  <si>
    <r>
      <t>C</t>
    </r>
    <r>
      <rPr>
        <vertAlign val="subscript"/>
        <sz val="11"/>
        <rFont val="游ゴシック"/>
        <family val="3"/>
        <charset val="128"/>
        <scheme val="minor"/>
      </rPr>
      <t>l</t>
    </r>
    <r>
      <rPr>
        <sz val="11"/>
        <rFont val="游ゴシック"/>
        <family val="2"/>
        <charset val="128"/>
        <scheme val="minor"/>
      </rPr>
      <t>：LPG単価[円/kg]</t>
    </r>
    <phoneticPr fontId="1"/>
  </si>
  <si>
    <r>
      <t>C</t>
    </r>
    <r>
      <rPr>
        <vertAlign val="subscript"/>
        <sz val="11"/>
        <rFont val="游ゴシック"/>
        <family val="3"/>
        <charset val="128"/>
        <scheme val="minor"/>
      </rPr>
      <t>j</t>
    </r>
    <r>
      <rPr>
        <sz val="11"/>
        <rFont val="游ゴシック"/>
        <family val="2"/>
        <charset val="128"/>
        <scheme val="minor"/>
      </rPr>
      <t>：薬品</t>
    </r>
    <r>
      <rPr>
        <vertAlign val="superscript"/>
        <sz val="11"/>
        <rFont val="游ゴシック"/>
        <family val="3"/>
        <charset val="128"/>
        <scheme val="minor"/>
      </rPr>
      <t>※1</t>
    </r>
    <r>
      <rPr>
        <sz val="11"/>
        <rFont val="游ゴシック"/>
        <family val="2"/>
        <charset val="128"/>
        <scheme val="minor"/>
      </rPr>
      <t>単価[円/kg]</t>
    </r>
    <phoneticPr fontId="1"/>
  </si>
  <si>
    <r>
      <t>E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=Y</t>
    </r>
    <r>
      <rPr>
        <vertAlign val="subscript"/>
        <sz val="11"/>
        <rFont val="游ゴシック"/>
        <family val="3"/>
        <charset val="128"/>
        <scheme val="minor"/>
      </rPr>
      <t>c3-4</t>
    </r>
    <r>
      <rPr>
        <sz val="11"/>
        <rFont val="游ゴシック"/>
        <family val="3"/>
        <charset val="128"/>
        <scheme val="minor"/>
      </rPr>
      <t>÷C</t>
    </r>
    <r>
      <rPr>
        <vertAlign val="subscript"/>
        <sz val="11"/>
        <rFont val="游ゴシック"/>
        <family val="3"/>
        <charset val="128"/>
        <scheme val="minor"/>
      </rPr>
      <t>a</t>
    </r>
    <r>
      <rPr>
        <sz val="11"/>
        <rFont val="游ゴシック"/>
        <family val="3"/>
        <charset val="128"/>
        <scheme val="minor"/>
      </rPr>
      <t>×E</t>
    </r>
    <r>
      <rPr>
        <vertAlign val="subscript"/>
        <sz val="11"/>
        <rFont val="游ゴシック"/>
        <family val="3"/>
        <charset val="128"/>
        <scheme val="minor"/>
      </rPr>
      <t>l</t>
    </r>
    <phoneticPr fontId="1"/>
  </si>
  <si>
    <r>
      <t>E</t>
    </r>
    <r>
      <rPr>
        <vertAlign val="subscript"/>
        <sz val="11"/>
        <rFont val="游ゴシック"/>
        <family val="3"/>
        <charset val="128"/>
        <scheme val="minor"/>
      </rPr>
      <t>1</t>
    </r>
    <r>
      <rPr>
        <sz val="11"/>
        <rFont val="游ゴシック"/>
        <family val="3"/>
        <charset val="128"/>
        <scheme val="minor"/>
      </rPr>
      <t>=Y</t>
    </r>
    <r>
      <rPr>
        <vertAlign val="subscript"/>
        <sz val="11"/>
        <rFont val="游ゴシック"/>
        <family val="3"/>
        <charset val="128"/>
        <scheme val="minor"/>
      </rPr>
      <t>c3-2</t>
    </r>
    <r>
      <rPr>
        <sz val="11"/>
        <rFont val="游ゴシック"/>
        <family val="3"/>
        <charset val="128"/>
        <scheme val="minor"/>
      </rPr>
      <t>÷C</t>
    </r>
    <r>
      <rPr>
        <vertAlign val="subscript"/>
        <sz val="11"/>
        <rFont val="游ゴシック"/>
        <family val="3"/>
        <charset val="128"/>
        <scheme val="minor"/>
      </rPr>
      <t>e</t>
    </r>
    <r>
      <rPr>
        <sz val="11"/>
        <rFont val="游ゴシック"/>
        <family val="3"/>
        <charset val="128"/>
        <scheme val="minor"/>
      </rPr>
      <t>×E</t>
    </r>
    <r>
      <rPr>
        <vertAlign val="subscript"/>
        <sz val="11"/>
        <rFont val="游ゴシック"/>
        <family val="3"/>
        <charset val="128"/>
        <scheme val="minor"/>
      </rPr>
      <t>e</t>
    </r>
    <phoneticPr fontId="1"/>
  </si>
  <si>
    <r>
      <t>G</t>
    </r>
    <r>
      <rPr>
        <vertAlign val="subscript"/>
        <sz val="11"/>
        <rFont val="游ゴシック"/>
        <family val="3"/>
        <charset val="128"/>
        <scheme val="minor"/>
      </rPr>
      <t>1</t>
    </r>
    <r>
      <rPr>
        <sz val="11"/>
        <rFont val="游ゴシック"/>
        <family val="3"/>
        <charset val="128"/>
        <scheme val="minor"/>
      </rPr>
      <t>=Y</t>
    </r>
    <r>
      <rPr>
        <vertAlign val="subscript"/>
        <sz val="11"/>
        <rFont val="游ゴシック"/>
        <family val="3"/>
        <charset val="128"/>
        <scheme val="minor"/>
      </rPr>
      <t>c3-2</t>
    </r>
    <r>
      <rPr>
        <sz val="11"/>
        <rFont val="游ゴシック"/>
        <family val="3"/>
        <charset val="128"/>
        <scheme val="minor"/>
      </rPr>
      <t>÷C</t>
    </r>
    <r>
      <rPr>
        <vertAlign val="subscript"/>
        <sz val="11"/>
        <rFont val="游ゴシック"/>
        <family val="3"/>
        <charset val="128"/>
        <scheme val="minor"/>
      </rPr>
      <t>e</t>
    </r>
    <r>
      <rPr>
        <sz val="11"/>
        <rFont val="游ゴシック"/>
        <family val="3"/>
        <charset val="128"/>
        <scheme val="minor"/>
      </rPr>
      <t>×G</t>
    </r>
    <r>
      <rPr>
        <vertAlign val="subscript"/>
        <sz val="11"/>
        <rFont val="游ゴシック"/>
        <family val="3"/>
        <charset val="128"/>
        <scheme val="minor"/>
      </rPr>
      <t>e</t>
    </r>
    <phoneticPr fontId="1"/>
  </si>
  <si>
    <r>
      <t>G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=Y</t>
    </r>
    <r>
      <rPr>
        <vertAlign val="subscript"/>
        <sz val="11"/>
        <rFont val="游ゴシック"/>
        <family val="3"/>
        <charset val="128"/>
        <scheme val="minor"/>
      </rPr>
      <t>c3-4</t>
    </r>
    <r>
      <rPr>
        <sz val="11"/>
        <rFont val="游ゴシック"/>
        <family val="3"/>
        <charset val="128"/>
        <scheme val="minor"/>
      </rPr>
      <t>÷C</t>
    </r>
    <r>
      <rPr>
        <vertAlign val="subscript"/>
        <sz val="11"/>
        <rFont val="游ゴシック"/>
        <family val="3"/>
        <charset val="128"/>
        <scheme val="minor"/>
      </rPr>
      <t>a</t>
    </r>
    <r>
      <rPr>
        <sz val="11"/>
        <rFont val="游ゴシック"/>
        <family val="3"/>
        <charset val="128"/>
        <scheme val="minor"/>
      </rPr>
      <t>×G</t>
    </r>
    <r>
      <rPr>
        <vertAlign val="subscript"/>
        <sz val="11"/>
        <rFont val="游ゴシック"/>
        <family val="3"/>
        <charset val="128"/>
        <scheme val="minor"/>
      </rPr>
      <t>l</t>
    </r>
    <phoneticPr fontId="1"/>
  </si>
  <si>
    <r>
      <t>G</t>
    </r>
    <r>
      <rPr>
        <vertAlign val="sub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=Y</t>
    </r>
    <r>
      <rPr>
        <vertAlign val="subscript"/>
        <sz val="11"/>
        <rFont val="游ゴシック"/>
        <family val="3"/>
        <charset val="128"/>
        <scheme val="minor"/>
      </rPr>
      <t>c3-5</t>
    </r>
    <r>
      <rPr>
        <sz val="11"/>
        <rFont val="游ゴシック"/>
        <family val="3"/>
        <charset val="128"/>
        <scheme val="minor"/>
      </rPr>
      <t>÷C</t>
    </r>
    <r>
      <rPr>
        <vertAlign val="subscript"/>
        <sz val="11"/>
        <rFont val="游ゴシック"/>
        <family val="3"/>
        <charset val="128"/>
        <scheme val="minor"/>
      </rPr>
      <t>j</t>
    </r>
    <r>
      <rPr>
        <sz val="11"/>
        <rFont val="游ゴシック"/>
        <family val="3"/>
        <charset val="128"/>
        <scheme val="minor"/>
      </rPr>
      <t>÷G</t>
    </r>
    <r>
      <rPr>
        <vertAlign val="subscript"/>
        <sz val="11"/>
        <rFont val="游ゴシック"/>
        <family val="3"/>
        <charset val="128"/>
        <scheme val="minor"/>
      </rPr>
      <t>j</t>
    </r>
    <phoneticPr fontId="1"/>
  </si>
  <si>
    <r>
      <t>G</t>
    </r>
    <r>
      <rPr>
        <vertAlign val="subscript"/>
        <sz val="11"/>
        <rFont val="游ゴシック"/>
        <family val="3"/>
        <charset val="128"/>
        <scheme val="minor"/>
      </rPr>
      <t>1</t>
    </r>
    <r>
      <rPr>
        <sz val="11"/>
        <rFont val="游ゴシック"/>
        <family val="3"/>
        <charset val="128"/>
        <scheme val="minor"/>
      </rPr>
      <t>=Y</t>
    </r>
    <r>
      <rPr>
        <vertAlign val="subscript"/>
        <sz val="11"/>
        <rFont val="游ゴシック"/>
        <family val="3"/>
        <charset val="128"/>
        <scheme val="minor"/>
      </rPr>
      <t>c3-2</t>
    </r>
    <r>
      <rPr>
        <sz val="11"/>
        <rFont val="游ゴシック"/>
        <family val="3"/>
        <charset val="128"/>
        <scheme val="minor"/>
      </rPr>
      <t>÷C</t>
    </r>
    <r>
      <rPr>
        <vertAlign val="subscript"/>
        <sz val="11"/>
        <rFont val="游ゴシック"/>
        <family val="3"/>
        <charset val="128"/>
        <scheme val="minor"/>
      </rPr>
      <t>e</t>
    </r>
    <r>
      <rPr>
        <sz val="11"/>
        <rFont val="游ゴシック"/>
        <family val="3"/>
        <charset val="128"/>
        <scheme val="minor"/>
      </rPr>
      <t>×G</t>
    </r>
    <r>
      <rPr>
        <vertAlign val="subscript"/>
        <sz val="11"/>
        <rFont val="游ゴシック"/>
        <family val="3"/>
        <charset val="128"/>
        <scheme val="minor"/>
      </rPr>
      <t>e</t>
    </r>
    <phoneticPr fontId="1"/>
  </si>
  <si>
    <r>
      <t>G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=Y</t>
    </r>
    <r>
      <rPr>
        <vertAlign val="subscript"/>
        <sz val="11"/>
        <rFont val="游ゴシック"/>
        <family val="3"/>
        <charset val="128"/>
        <scheme val="minor"/>
      </rPr>
      <t>c3-4</t>
    </r>
    <r>
      <rPr>
        <sz val="11"/>
        <rFont val="游ゴシック"/>
        <family val="3"/>
        <charset val="128"/>
        <scheme val="minor"/>
      </rPr>
      <t>÷C</t>
    </r>
    <r>
      <rPr>
        <vertAlign val="subscript"/>
        <sz val="11"/>
        <rFont val="游ゴシック"/>
        <family val="3"/>
        <charset val="128"/>
        <scheme val="minor"/>
      </rPr>
      <t>a</t>
    </r>
    <r>
      <rPr>
        <sz val="11"/>
        <rFont val="游ゴシック"/>
        <family val="3"/>
        <charset val="128"/>
        <scheme val="minor"/>
      </rPr>
      <t>×G</t>
    </r>
    <r>
      <rPr>
        <vertAlign val="subscript"/>
        <sz val="11"/>
        <rFont val="游ゴシック"/>
        <family val="3"/>
        <charset val="128"/>
        <scheme val="minor"/>
      </rPr>
      <t>l</t>
    </r>
    <phoneticPr fontId="1"/>
  </si>
  <si>
    <r>
      <t>G</t>
    </r>
    <r>
      <rPr>
        <vertAlign val="sub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=Y</t>
    </r>
    <r>
      <rPr>
        <vertAlign val="subscript"/>
        <sz val="11"/>
        <rFont val="游ゴシック"/>
        <family val="3"/>
        <charset val="128"/>
        <scheme val="minor"/>
      </rPr>
      <t>c3-5</t>
    </r>
    <r>
      <rPr>
        <sz val="11"/>
        <rFont val="游ゴシック"/>
        <family val="3"/>
        <charset val="128"/>
        <scheme val="minor"/>
      </rPr>
      <t>÷C</t>
    </r>
    <r>
      <rPr>
        <vertAlign val="subscript"/>
        <sz val="11"/>
        <rFont val="游ゴシック"/>
        <family val="3"/>
        <charset val="128"/>
        <scheme val="minor"/>
      </rPr>
      <t>j</t>
    </r>
    <r>
      <rPr>
        <sz val="11"/>
        <rFont val="游ゴシック"/>
        <family val="3"/>
        <charset val="128"/>
        <scheme val="minor"/>
      </rPr>
      <t>÷G</t>
    </r>
    <r>
      <rPr>
        <vertAlign val="subscript"/>
        <sz val="11"/>
        <rFont val="游ゴシック"/>
        <family val="3"/>
        <charset val="128"/>
        <scheme val="minor"/>
      </rPr>
      <t>j</t>
    </r>
    <phoneticPr fontId="1"/>
  </si>
  <si>
    <r>
      <t>G</t>
    </r>
    <r>
      <rPr>
        <vertAlign val="subscript"/>
        <sz val="11"/>
        <rFont val="游ゴシック"/>
        <family val="3"/>
        <charset val="128"/>
        <scheme val="minor"/>
      </rPr>
      <t>4</t>
    </r>
    <r>
      <rPr>
        <sz val="11"/>
        <rFont val="游ゴシック"/>
        <family val="3"/>
        <charset val="128"/>
        <scheme val="minor"/>
      </rPr>
      <t>=0.0095÷1000×X</t>
    </r>
    <r>
      <rPr>
        <vertAlign val="subscript"/>
        <sz val="11"/>
        <rFont val="游ゴシック"/>
        <family val="3"/>
        <charset val="128"/>
        <scheme val="minor"/>
      </rPr>
      <t>y</t>
    </r>
    <r>
      <rPr>
        <sz val="11"/>
        <rFont val="游ゴシック"/>
        <family val="3"/>
        <charset val="128"/>
        <scheme val="minor"/>
      </rPr>
      <t>×G</t>
    </r>
    <r>
      <rPr>
        <vertAlign val="subscript"/>
        <sz val="11"/>
        <rFont val="游ゴシック"/>
        <family val="3"/>
        <charset val="128"/>
        <scheme val="minor"/>
      </rPr>
      <t>n</t>
    </r>
    <phoneticPr fontId="1"/>
  </si>
  <si>
    <t>汚泥乾燥（燃焼脱臭炉由来）</t>
    <rPh sb="0" eb="2">
      <t>オデイ</t>
    </rPh>
    <rPh sb="2" eb="4">
      <t>カンソウ</t>
    </rPh>
    <rPh sb="5" eb="7">
      <t>ネンショウ</t>
    </rPh>
    <rPh sb="7" eb="9">
      <t>ダッシュウ</t>
    </rPh>
    <rPh sb="9" eb="10">
      <t>ロ</t>
    </rPh>
    <rPh sb="10" eb="12">
      <t>ユライ</t>
    </rPh>
    <phoneticPr fontId="1"/>
  </si>
  <si>
    <t>汚泥乾燥（燃焼脱臭炉由来）</t>
    <rPh sb="0" eb="2">
      <t>オデイ</t>
    </rPh>
    <rPh sb="2" eb="4">
      <t>カンソウ</t>
    </rPh>
    <phoneticPr fontId="1"/>
  </si>
  <si>
    <t>㊲</t>
    <phoneticPr fontId="1"/>
  </si>
  <si>
    <t>㊳</t>
    <phoneticPr fontId="1"/>
  </si>
  <si>
    <t>㊴：㊲÷㊳</t>
    <phoneticPr fontId="1"/>
  </si>
  <si>
    <t>Ee：電力</t>
    <rPh sb="3" eb="5">
      <t>デンリョク</t>
    </rPh>
    <phoneticPr fontId="1"/>
  </si>
  <si>
    <t>El：A重油</t>
    <rPh sb="4" eb="6">
      <t>ジュウユ</t>
    </rPh>
    <phoneticPr fontId="1"/>
  </si>
  <si>
    <t>El：LPG</t>
    <phoneticPr fontId="1"/>
  </si>
  <si>
    <t>Ej：上水道</t>
    <rPh sb="3" eb="6">
      <t>ジョウスイドウ</t>
    </rPh>
    <phoneticPr fontId="1"/>
  </si>
  <si>
    <t>Ge：電力</t>
    <rPh sb="3" eb="5">
      <t>デンリョク</t>
    </rPh>
    <phoneticPr fontId="1"/>
  </si>
  <si>
    <t>Gl：A重油</t>
    <rPh sb="4" eb="6">
      <t>ジュウユ</t>
    </rPh>
    <phoneticPr fontId="1"/>
  </si>
  <si>
    <t>Gl：LPG</t>
    <phoneticPr fontId="1"/>
  </si>
  <si>
    <t>Gj：上水道</t>
    <rPh sb="3" eb="6">
      <t>ジョウスイドウ</t>
    </rPh>
    <phoneticPr fontId="1"/>
  </si>
  <si>
    <r>
      <t>Gn：N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Ｏ</t>
    </r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</si>
  <si>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C2</t>
    </r>
    <r>
      <rPr>
        <sz val="11"/>
        <color theme="1"/>
        <rFont val="游ゴシック"/>
        <family val="3"/>
        <charset val="128"/>
        <scheme val="minor"/>
      </rPr>
      <t>=31.9×X</t>
    </r>
    <r>
      <rPr>
        <vertAlign val="subscript"/>
        <sz val="11"/>
        <color theme="1"/>
        <rFont val="游ゴシック"/>
        <family val="3"/>
        <charset val="128"/>
        <scheme val="minor"/>
      </rPr>
      <t>d</t>
    </r>
    <r>
      <rPr>
        <vertAlign val="superscript"/>
        <sz val="11"/>
        <color theme="1"/>
        <rFont val="游ゴシック"/>
        <family val="3"/>
        <charset val="128"/>
        <scheme val="minor"/>
      </rPr>
      <t>0.971</t>
    </r>
    <r>
      <rPr>
        <sz val="11"/>
        <color theme="1"/>
        <rFont val="游ゴシック"/>
        <family val="3"/>
        <charset val="128"/>
        <scheme val="minor"/>
      </rPr>
      <t>×β</t>
    </r>
    <phoneticPr fontId="1"/>
  </si>
  <si>
    <t>③</t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</si>
  <si>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</t>
    </r>
    <r>
      <rPr>
        <sz val="11"/>
        <color theme="1"/>
        <rFont val="游ゴシック"/>
        <family val="2"/>
        <charset val="128"/>
        <scheme val="minor"/>
      </rPr>
      <t>=6.59×X</t>
    </r>
    <r>
      <rPr>
        <vertAlign val="subscript"/>
        <sz val="11"/>
        <color theme="1"/>
        <rFont val="游ゴシック"/>
        <family val="3"/>
        <charset val="128"/>
        <scheme val="minor"/>
      </rPr>
      <t>d</t>
    </r>
    <r>
      <rPr>
        <vertAlign val="superscript"/>
        <sz val="11"/>
        <color theme="1"/>
        <rFont val="游ゴシック"/>
        <family val="3"/>
        <charset val="128"/>
        <scheme val="minor"/>
      </rPr>
      <t>0.809</t>
    </r>
    <r>
      <rPr>
        <sz val="11"/>
        <color theme="1"/>
        <rFont val="游ゴシック"/>
        <family val="3"/>
        <charset val="128"/>
        <scheme val="minor"/>
      </rPr>
      <t>×β</t>
    </r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</si>
  <si>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=0.362×X</t>
    </r>
    <r>
      <rPr>
        <vertAlign val="subscript"/>
        <sz val="11"/>
        <color theme="1"/>
        <rFont val="游ゴシック"/>
        <family val="3"/>
        <charset val="128"/>
        <scheme val="minor"/>
      </rPr>
      <t>y</t>
    </r>
    <r>
      <rPr>
        <vertAlign val="superscript"/>
        <sz val="11"/>
        <color theme="1"/>
        <rFont val="游ゴシック"/>
        <family val="3"/>
        <charset val="128"/>
        <scheme val="minor"/>
      </rPr>
      <t>0.585</t>
    </r>
    <r>
      <rPr>
        <sz val="11"/>
        <color theme="1"/>
        <rFont val="游ゴシック"/>
        <family val="3"/>
        <charset val="128"/>
        <scheme val="minor"/>
      </rPr>
      <t>×β</t>
    </r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</si>
  <si>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c1</t>
    </r>
    <r>
      <rPr>
        <sz val="11"/>
        <color theme="1"/>
        <rFont val="游ゴシック"/>
        <family val="3"/>
        <charset val="128"/>
        <scheme val="minor"/>
      </rPr>
      <t>=651.2×β</t>
    </r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</si>
  <si>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c2</t>
    </r>
    <r>
      <rPr>
        <sz val="11"/>
        <color theme="1"/>
        <rFont val="游ゴシック"/>
        <family val="3"/>
        <charset val="128"/>
        <scheme val="minor"/>
      </rPr>
      <t>=881</t>
    </r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</si>
  <si>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</t>
    </r>
    <r>
      <rPr>
        <sz val="11"/>
        <color theme="1"/>
        <rFont val="游ゴシック"/>
        <family val="2"/>
        <charset val="128"/>
        <scheme val="minor"/>
      </rPr>
      <t>=199.9×β</t>
    </r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</si>
  <si>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c3-4</t>
    </r>
    <r>
      <rPr>
        <sz val="11"/>
        <color theme="1"/>
        <rFont val="游ゴシック"/>
        <family val="3"/>
        <charset val="128"/>
        <scheme val="minor"/>
      </rPr>
      <t>=55.8×W</t>
    </r>
    <r>
      <rPr>
        <vertAlign val="subscript"/>
        <sz val="11"/>
        <color theme="1"/>
        <rFont val="游ゴシック"/>
        <family val="3"/>
        <charset val="128"/>
        <scheme val="minor"/>
      </rPr>
      <t>y-2</t>
    </r>
    <r>
      <rPr>
        <sz val="11"/>
        <color theme="1"/>
        <rFont val="游ゴシック"/>
        <family val="3"/>
        <charset val="128"/>
        <scheme val="minor"/>
      </rPr>
      <t>/12018</t>
    </r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</si>
  <si>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c3-4</t>
    </r>
    <r>
      <rPr>
        <sz val="11"/>
        <color theme="1"/>
        <rFont val="游ゴシック"/>
        <family val="3"/>
        <charset val="128"/>
        <scheme val="minor"/>
      </rPr>
      <t>=21.0×W</t>
    </r>
    <r>
      <rPr>
        <vertAlign val="subscript"/>
        <sz val="11"/>
        <color theme="1"/>
        <rFont val="游ゴシック"/>
        <family val="3"/>
        <charset val="128"/>
        <scheme val="minor"/>
      </rPr>
      <t>y-2</t>
    </r>
    <r>
      <rPr>
        <sz val="11"/>
        <color theme="1"/>
        <rFont val="游ゴシック"/>
        <family val="3"/>
        <charset val="128"/>
        <scheme val="minor"/>
      </rPr>
      <t>/12018</t>
    </r>
    <phoneticPr fontId="1"/>
  </si>
  <si>
    <r>
      <t>Y</t>
    </r>
    <r>
      <rPr>
        <vertAlign val="subscript"/>
        <sz val="11"/>
        <color theme="1"/>
        <rFont val="游ゴシック"/>
        <family val="3"/>
        <charset val="128"/>
        <scheme val="minor"/>
      </rPr>
      <t>c3-5</t>
    </r>
    <r>
      <rPr>
        <sz val="11"/>
        <color theme="1"/>
        <rFont val="游ゴシック"/>
        <family val="3"/>
        <charset val="128"/>
        <scheme val="minor"/>
      </rPr>
      <t>=2.3×Wy/12018</t>
    </r>
    <phoneticPr fontId="1"/>
  </si>
  <si>
    <r>
      <t>E</t>
    </r>
    <r>
      <rPr>
        <vertAlign val="subscript"/>
        <sz val="11"/>
        <rFont val="游ゴシック"/>
        <family val="3"/>
        <charset val="128"/>
        <scheme val="minor"/>
      </rPr>
      <t>1</t>
    </r>
    <r>
      <rPr>
        <sz val="11"/>
        <rFont val="游ゴシック"/>
        <family val="3"/>
        <charset val="128"/>
        <scheme val="minor"/>
      </rPr>
      <t>=22.195×X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+7×10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1"/>
  </si>
  <si>
    <r>
      <t>G=1.5175×X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+463.89</t>
    </r>
    <phoneticPr fontId="1"/>
  </si>
  <si>
    <t>乾燥機日毎運転時間[h/日]（固定）</t>
    <rPh sb="0" eb="2">
      <t>カンソウ</t>
    </rPh>
    <rPh sb="2" eb="3">
      <t>キ</t>
    </rPh>
    <rPh sb="3" eb="4">
      <t>ニチ</t>
    </rPh>
    <rPh sb="4" eb="5">
      <t>マイ</t>
    </rPh>
    <rPh sb="5" eb="7">
      <t>ウンテン</t>
    </rPh>
    <rPh sb="7" eb="9">
      <t>ジカン</t>
    </rPh>
    <rPh sb="12" eb="13">
      <t>ニチ</t>
    </rPh>
    <rPh sb="15" eb="17">
      <t>コテイ</t>
    </rPh>
    <phoneticPr fontId="1"/>
  </si>
  <si>
    <t>Xd：施設規模[t-wet/日]</t>
    <phoneticPr fontId="1"/>
  </si>
  <si>
    <r>
      <t>X</t>
    </r>
    <r>
      <rPr>
        <vertAlign val="subscript"/>
        <sz val="11"/>
        <color theme="1"/>
        <rFont val="游ゴシック"/>
        <family val="3"/>
        <charset val="128"/>
        <scheme val="minor"/>
      </rPr>
      <t>y</t>
    </r>
    <r>
      <rPr>
        <sz val="11"/>
        <color theme="1"/>
        <rFont val="游ゴシック"/>
        <family val="2"/>
        <charset val="128"/>
        <scheme val="minor"/>
      </rPr>
      <t>：年処理脱水汚泥量[t-wet/年]</t>
    </r>
    <r>
      <rPr>
        <vertAlign val="superscript"/>
        <sz val="11"/>
        <color theme="1"/>
        <rFont val="游ゴシック"/>
        <family val="3"/>
        <charset val="128"/>
        <scheme val="minor"/>
      </rPr>
      <t>※1</t>
    </r>
    <rPh sb="3" eb="4">
      <t>ネン</t>
    </rPh>
    <rPh sb="4" eb="6">
      <t>ショリ</t>
    </rPh>
    <rPh sb="6" eb="8">
      <t>ダッスイ</t>
    </rPh>
    <rPh sb="8" eb="10">
      <t>オデイ</t>
    </rPh>
    <rPh sb="10" eb="11">
      <t>リョウ</t>
    </rPh>
    <phoneticPr fontId="1"/>
  </si>
  <si>
    <t>初期値：78</t>
    <rPh sb="0" eb="3">
      <t>ショキチ</t>
    </rPh>
    <phoneticPr fontId="1"/>
  </si>
  <si>
    <t>初期値：20</t>
    <rPh sb="0" eb="3">
      <t>ショキチ</t>
    </rPh>
    <phoneticPr fontId="1"/>
  </si>
  <si>
    <t>初期値：15</t>
    <rPh sb="0" eb="3">
      <t>ショキチ</t>
    </rPh>
    <phoneticPr fontId="1"/>
  </si>
  <si>
    <t>初期値：200</t>
    <rPh sb="0" eb="3">
      <t>ショキチ</t>
    </rPh>
    <phoneticPr fontId="1"/>
  </si>
  <si>
    <t>初期値：71</t>
    <rPh sb="0" eb="3">
      <t>ショキチ</t>
    </rPh>
    <phoneticPr fontId="1"/>
  </si>
  <si>
    <t>初期値：89</t>
    <rPh sb="0" eb="3">
      <t>ショキチ</t>
    </rPh>
    <phoneticPr fontId="1"/>
  </si>
  <si>
    <t>初期値：40</t>
    <rPh sb="0" eb="3">
      <t>ショキチ</t>
    </rPh>
    <phoneticPr fontId="1"/>
  </si>
  <si>
    <t>初期値：23000</t>
    <rPh sb="0" eb="3">
      <t>ショキチ</t>
    </rPh>
    <phoneticPr fontId="1"/>
  </si>
  <si>
    <t>初期値：19000</t>
    <rPh sb="0" eb="3">
      <t>ショキチ</t>
    </rPh>
    <phoneticPr fontId="1"/>
  </si>
  <si>
    <t>初期値：1.14</t>
    <rPh sb="0" eb="3">
      <t>ショキチ</t>
    </rPh>
    <phoneticPr fontId="1"/>
  </si>
  <si>
    <t>※乾燥汚泥含水率(従来乾燥機_全国平均)25%W.B.</t>
    <rPh sb="1" eb="3">
      <t>カンソウ</t>
    </rPh>
    <rPh sb="3" eb="5">
      <t>オデイ</t>
    </rPh>
    <rPh sb="5" eb="7">
      <t>ガンスイ</t>
    </rPh>
    <rPh sb="7" eb="8">
      <t>リツ</t>
    </rPh>
    <rPh sb="9" eb="11">
      <t>ジュウライ</t>
    </rPh>
    <rPh sb="11" eb="14">
      <t>カンソウキ</t>
    </rPh>
    <rPh sb="15" eb="17">
      <t>ゼンコク</t>
    </rPh>
    <rPh sb="17" eb="19">
      <t>ヘイキン</t>
    </rPh>
    <phoneticPr fontId="1"/>
  </si>
  <si>
    <t>※乾燥汚泥含水率(従来乾燥機_全国平均)20%W.B.</t>
    <rPh sb="1" eb="3">
      <t>カンソウ</t>
    </rPh>
    <rPh sb="3" eb="5">
      <t>オデイ</t>
    </rPh>
    <rPh sb="5" eb="7">
      <t>ガンスイ</t>
    </rPh>
    <rPh sb="7" eb="8">
      <t>リツ</t>
    </rPh>
    <rPh sb="9" eb="11">
      <t>ジュウライ</t>
    </rPh>
    <rPh sb="11" eb="14">
      <t>カンソウキ</t>
    </rPh>
    <rPh sb="15" eb="17">
      <t>ゼンコク</t>
    </rPh>
    <rPh sb="17" eb="19">
      <t>ヘイキン</t>
    </rPh>
    <phoneticPr fontId="1"/>
  </si>
  <si>
    <t>乾燥機年間稼働日数[日/年]</t>
    <phoneticPr fontId="1"/>
  </si>
  <si>
    <t>初期値：79</t>
    <rPh sb="0" eb="3">
      <t>ショキチ</t>
    </rPh>
    <phoneticPr fontId="1"/>
  </si>
  <si>
    <t>乾燥機日毎運転時間[h/日]（固定）</t>
    <rPh sb="15" eb="17">
      <t>コテイ</t>
    </rPh>
    <phoneticPr fontId="1"/>
  </si>
  <si>
    <t>初期値：2.3</t>
    <rPh sb="0" eb="3">
      <t>ショキチ</t>
    </rPh>
    <phoneticPr fontId="1"/>
  </si>
  <si>
    <t>初期値：45</t>
    <rPh sb="0" eb="3">
      <t>ショキチ</t>
    </rPh>
    <phoneticPr fontId="1"/>
  </si>
  <si>
    <r>
      <t>乾燥汚泥含水率[%W.B.]</t>
    </r>
    <r>
      <rPr>
        <vertAlign val="superscript"/>
        <sz val="11"/>
        <color theme="1"/>
        <rFont val="游ゴシック"/>
        <family val="3"/>
        <charset val="128"/>
        <scheme val="minor"/>
      </rPr>
      <t>※3</t>
    </r>
    <rPh sb="0" eb="2">
      <t>カンソウ</t>
    </rPh>
    <phoneticPr fontId="1"/>
  </si>
  <si>
    <r>
      <t>脱水汚泥含水率[%W.B.]</t>
    </r>
    <r>
      <rPr>
        <vertAlign val="superscript"/>
        <sz val="11"/>
        <color theme="1"/>
        <rFont val="游ゴシック"/>
        <family val="3"/>
        <charset val="128"/>
        <scheme val="minor"/>
      </rPr>
      <t>※2</t>
    </r>
    <phoneticPr fontId="1"/>
  </si>
  <si>
    <t>※2　適用範囲は72～83[%W.B.]とする</t>
    <rPh sb="3" eb="5">
      <t>テキヨウ</t>
    </rPh>
    <rPh sb="5" eb="7">
      <t>ハンイ</t>
    </rPh>
    <phoneticPr fontId="1"/>
  </si>
  <si>
    <t>※3　15～30[%W.B.]のハンドリングが可能だが目安は20[%W.B.]とする</t>
    <rPh sb="23" eb="25">
      <t>カノウ</t>
    </rPh>
    <rPh sb="27" eb="29">
      <t>メヤス</t>
    </rPh>
    <phoneticPr fontId="1"/>
  </si>
  <si>
    <t>※1　小型乾燥機適用範囲、6,000～9,200[t-wet/年]</t>
    <rPh sb="3" eb="5">
      <t>コガタ</t>
    </rPh>
    <rPh sb="8" eb="10">
      <t>テキヨウ</t>
    </rPh>
    <rPh sb="10" eb="12">
      <t>ハンイ</t>
    </rPh>
    <phoneticPr fontId="1"/>
  </si>
  <si>
    <t>※1　中型乾燥機適用範囲、10,000～16,600[t-wet/年]</t>
    <rPh sb="8" eb="10">
      <t>テキヨウ</t>
    </rPh>
    <rPh sb="10" eb="12">
      <t>ハンイ</t>
    </rPh>
    <phoneticPr fontId="1"/>
  </si>
  <si>
    <t>※4　初期値は実証研究にて使用した代表値です。</t>
    <rPh sb="3" eb="6">
      <t>ショキチ</t>
    </rPh>
    <rPh sb="7" eb="9">
      <t>ジッショウ</t>
    </rPh>
    <rPh sb="9" eb="11">
      <t>ケンキュウ</t>
    </rPh>
    <rPh sb="13" eb="15">
      <t>シヨウ</t>
    </rPh>
    <rPh sb="17" eb="19">
      <t>ダイヒョウ</t>
    </rPh>
    <rPh sb="19" eb="20">
      <t>チ</t>
    </rPh>
    <phoneticPr fontId="1"/>
  </si>
  <si>
    <t>※4　各初期値は実証研究にて使用した代表値です。</t>
    <rPh sb="3" eb="4">
      <t>カク</t>
    </rPh>
    <rPh sb="4" eb="7">
      <t>ショキチ</t>
    </rPh>
    <rPh sb="8" eb="10">
      <t>ジッショウ</t>
    </rPh>
    <rPh sb="10" eb="12">
      <t>ケンキュウ</t>
    </rPh>
    <rPh sb="14" eb="16">
      <t>シヨウ</t>
    </rPh>
    <rPh sb="18" eb="20">
      <t>ダイヒョウ</t>
    </rPh>
    <rPh sb="20" eb="21">
      <t>チ</t>
    </rPh>
    <phoneticPr fontId="1"/>
  </si>
  <si>
    <r>
      <t>初期値</t>
    </r>
    <r>
      <rPr>
        <vertAlign val="superscript"/>
        <sz val="10"/>
        <color theme="1"/>
        <rFont val="游ゴシック"/>
        <family val="3"/>
        <charset val="128"/>
        <scheme val="minor"/>
      </rPr>
      <t>※4</t>
    </r>
    <r>
      <rPr>
        <sz val="10"/>
        <color theme="1"/>
        <rFont val="游ゴシック"/>
        <family val="2"/>
        <charset val="128"/>
        <scheme val="minor"/>
      </rPr>
      <t>：8280</t>
    </r>
    <rPh sb="0" eb="3">
      <t>ショキチ</t>
    </rPh>
    <phoneticPr fontId="1"/>
  </si>
  <si>
    <r>
      <t>初期値</t>
    </r>
    <r>
      <rPr>
        <vertAlign val="superscript"/>
        <sz val="10"/>
        <color theme="1"/>
        <rFont val="游ゴシック"/>
        <family val="3"/>
        <charset val="128"/>
        <scheme val="minor"/>
      </rPr>
      <t>※4</t>
    </r>
    <r>
      <rPr>
        <sz val="10"/>
        <color theme="1"/>
        <rFont val="游ゴシック"/>
        <family val="2"/>
        <charset val="128"/>
        <scheme val="minor"/>
      </rPr>
      <t>：16296</t>
    </r>
    <rPh sb="0" eb="3">
      <t>ショキチ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</si>
</sst>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 "/>
    <numFmt numFmtId="177" formatCode="0.00_ "/>
    <numFmt numFmtId="178" formatCode="0.0%"/>
    <numFmt numFmtId="179" formatCode="#,##0_ "/>
    <numFmt numFmtId="180" formatCode="0.0_ "/>
    <numFmt numFmtId="181" formatCode="0_ "/>
    <numFmt numFmtId="182" formatCode="0_);[Red]\(0\)"/>
    <numFmt numFmtId="183" formatCode="0.0_);[Red]\(0.0\)"/>
    <numFmt numFmtId="184" formatCode="0.00000_ 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vertAlign val="subscript"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4F9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4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182" fontId="0" fillId="7" borderId="1" xfId="0" applyNumberFormat="1" applyFill="1" applyBorder="1" applyAlignment="1">
      <alignment horizontal="center" vertical="center"/>
    </xf>
    <xf numFmtId="183" fontId="0" fillId="6" borderId="1" xfId="0" applyNumberFormat="1" applyFill="1" applyBorder="1" applyAlignment="1">
      <alignment horizontal="center" vertical="center"/>
    </xf>
    <xf numFmtId="183" fontId="7" fillId="6" borderId="2" xfId="0" applyNumberFormat="1" applyFont="1" applyFill="1" applyBorder="1" applyAlignment="1">
      <alignment horizontal="center" vertical="center"/>
    </xf>
    <xf numFmtId="183" fontId="0" fillId="6" borderId="2" xfId="0" applyNumberFormat="1" applyFill="1" applyBorder="1" applyAlignment="1">
      <alignment horizontal="center" vertical="center"/>
    </xf>
    <xf numFmtId="183" fontId="0" fillId="7" borderId="1" xfId="0" applyNumberFormat="1" applyFill="1" applyBorder="1" applyAlignment="1">
      <alignment horizontal="center" vertical="center"/>
    </xf>
    <xf numFmtId="183" fontId="7" fillId="7" borderId="1" xfId="0" applyNumberFormat="1" applyFont="1" applyFill="1" applyBorder="1" applyAlignment="1">
      <alignment horizontal="center" vertical="center"/>
    </xf>
    <xf numFmtId="183" fontId="7" fillId="7" borderId="4" xfId="0" applyNumberFormat="1" applyFont="1" applyFill="1" applyBorder="1" applyAlignment="1">
      <alignment horizontal="center" vertical="center"/>
    </xf>
    <xf numFmtId="183" fontId="0" fillId="7" borderId="5" xfId="0" applyNumberFormat="1" applyFill="1" applyBorder="1" applyAlignment="1">
      <alignment horizontal="center" vertical="center"/>
    </xf>
    <xf numFmtId="183" fontId="8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184" fontId="0" fillId="0" borderId="1" xfId="0" applyNumberFormat="1" applyFill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179" fontId="8" fillId="6" borderId="5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179" fontId="8" fillId="7" borderId="5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9" fontId="0" fillId="0" borderId="0" xfId="0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180" fontId="0" fillId="0" borderId="0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15" fillId="2" borderId="1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8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83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183" fontId="0" fillId="7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77" fontId="0" fillId="2" borderId="1" xfId="0" applyNumberForma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79" fontId="0" fillId="0" borderId="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83" fontId="0" fillId="6" borderId="2" xfId="0" applyNumberFormat="1" applyFill="1" applyBorder="1" applyAlignment="1">
      <alignment horizontal="center" vertical="center"/>
    </xf>
    <xf numFmtId="183" fontId="0" fillId="6" borderId="4" xfId="0" applyNumberForma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" fillId="6" borderId="14" xfId="0" applyFont="1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1" fontId="0" fillId="2" borderId="5" xfId="0" applyNumberFormat="1" applyFill="1" applyBorder="1" applyAlignment="1">
      <alignment horizontal="center" vertical="center"/>
    </xf>
    <xf numFmtId="181" fontId="0" fillId="2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6" borderId="15" xfId="0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0" fontId="0" fillId="6" borderId="15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6" borderId="2" xfId="0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7" borderId="1" xfId="0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7" borderId="14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0" fillId="7" borderId="2" xfId="0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9" fontId="8" fillId="6" borderId="2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DFF"/>
      <color rgb="FFD4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2057400</xdr:colOff>
      <xdr:row>11</xdr:row>
      <xdr:rowOff>152400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3534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201146</xdr:colOff>
      <xdr:row>0</xdr:row>
      <xdr:rowOff>120463</xdr:rowOff>
    </xdr:from>
    <xdr:to>
      <xdr:col>6</xdr:col>
      <xdr:colOff>352425</xdr:colOff>
      <xdr:row>0</xdr:row>
      <xdr:rowOff>392206</xdr:rowOff>
    </xdr:to>
    <xdr:grpSp>
      <xdr:nvGrpSpPr>
        <xdr:cNvPr id="3" name="グループ化 2"/>
        <xdr:cNvGrpSpPr/>
      </xdr:nvGrpSpPr>
      <xdr:grpSpPr>
        <a:xfrm>
          <a:off x="4106396" y="120463"/>
          <a:ext cx="4464743" cy="271743"/>
          <a:chOff x="2763371" y="120093"/>
          <a:chExt cx="3075454" cy="276225"/>
        </a:xfrm>
      </xdr:grpSpPr>
      <xdr:sp macro="" textlink="">
        <xdr:nvSpPr>
          <xdr:cNvPr id="4" name="正方形/長方形 3"/>
          <xdr:cNvSpPr/>
        </xdr:nvSpPr>
        <xdr:spPr>
          <a:xfrm>
            <a:off x="2763371" y="184336"/>
            <a:ext cx="493059" cy="156882"/>
          </a:xfrm>
          <a:prstGeom prst="rect">
            <a:avLst/>
          </a:prstGeom>
          <a:solidFill>
            <a:srgbClr val="D4F9F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305175" y="120093"/>
            <a:ext cx="2533650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：手入力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2057400</xdr:colOff>
      <xdr:row>11</xdr:row>
      <xdr:rowOff>152400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639550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201146</xdr:colOff>
      <xdr:row>0</xdr:row>
      <xdr:rowOff>120463</xdr:rowOff>
    </xdr:from>
    <xdr:to>
      <xdr:col>6</xdr:col>
      <xdr:colOff>352425</xdr:colOff>
      <xdr:row>0</xdr:row>
      <xdr:rowOff>392206</xdr:rowOff>
    </xdr:to>
    <xdr:grpSp>
      <xdr:nvGrpSpPr>
        <xdr:cNvPr id="3" name="グループ化 2"/>
        <xdr:cNvGrpSpPr/>
      </xdr:nvGrpSpPr>
      <xdr:grpSpPr>
        <a:xfrm>
          <a:off x="4106396" y="120463"/>
          <a:ext cx="4464743" cy="271743"/>
          <a:chOff x="2763371" y="120093"/>
          <a:chExt cx="3075454" cy="276225"/>
        </a:xfrm>
      </xdr:grpSpPr>
      <xdr:sp macro="" textlink="">
        <xdr:nvSpPr>
          <xdr:cNvPr id="4" name="正方形/長方形 3"/>
          <xdr:cNvSpPr/>
        </xdr:nvSpPr>
        <xdr:spPr>
          <a:xfrm>
            <a:off x="2763371" y="184336"/>
            <a:ext cx="493059" cy="156882"/>
          </a:xfrm>
          <a:prstGeom prst="rect">
            <a:avLst/>
          </a:prstGeom>
          <a:solidFill>
            <a:srgbClr val="D4F9F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3305175" y="120093"/>
            <a:ext cx="2533650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：手入力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0"/>
  <sheetViews>
    <sheetView showGridLines="0" tabSelected="1" view="pageBreakPreview" zoomScale="70" zoomScaleNormal="85" zoomScaleSheetLayoutView="70" workbookViewId="0">
      <selection activeCell="E3" sqref="E3"/>
    </sheetView>
  </sheetViews>
  <sheetFormatPr defaultRowHeight="18.75" x14ac:dyDescent="0.4"/>
  <cols>
    <col min="1" max="1" width="1.625" style="2" customWidth="1"/>
    <col min="2" max="2" width="11" style="2" customWidth="1"/>
    <col min="3" max="3" width="19.25" style="2" bestFit="1" customWidth="1"/>
    <col min="4" max="4" width="19.25" style="41" customWidth="1"/>
    <col min="5" max="5" width="38.375" style="2" customWidth="1"/>
    <col min="6" max="6" width="18.125" style="41" customWidth="1"/>
    <col min="7" max="7" width="18.125" style="2" customWidth="1"/>
    <col min="8" max="8" width="27.625" style="2" customWidth="1"/>
    <col min="9" max="9" width="24.625" style="11" customWidth="1"/>
    <col min="10" max="10" width="41.75" style="2" customWidth="1"/>
    <col min="11" max="11" width="37.75" style="2" bestFit="1" customWidth="1"/>
    <col min="12" max="12" width="4.25" style="2" customWidth="1"/>
    <col min="13" max="13" width="18" style="15" customWidth="1"/>
    <col min="14" max="14" width="18.125" style="15" customWidth="1"/>
    <col min="15" max="15" width="18.125" style="53" customWidth="1"/>
    <col min="16" max="16" width="21.625" style="15" customWidth="1"/>
    <col min="17" max="19" width="21.625" style="47" customWidth="1"/>
    <col min="20" max="21" width="10.625" style="47" customWidth="1"/>
    <col min="22" max="23" width="9" style="47" customWidth="1"/>
    <col min="24" max="24" width="9" style="2" customWidth="1"/>
    <col min="25" max="16384" width="9" style="2"/>
  </cols>
  <sheetData>
    <row r="1" spans="2:26" s="11" customFormat="1" ht="33" x14ac:dyDescent="0.4">
      <c r="B1" s="8" t="s">
        <v>33</v>
      </c>
      <c r="D1" s="41"/>
      <c r="E1" s="21"/>
      <c r="F1" s="21"/>
      <c r="M1" s="15"/>
      <c r="N1" s="15"/>
      <c r="O1" s="53"/>
      <c r="P1" s="15"/>
      <c r="Q1" s="47"/>
      <c r="R1" s="47"/>
      <c r="S1" s="47"/>
      <c r="T1" s="47"/>
      <c r="U1" s="47"/>
      <c r="V1" s="47"/>
      <c r="W1" s="47"/>
    </row>
    <row r="2" spans="2:26" s="11" customFormat="1" ht="20.25" x14ac:dyDescent="0.4">
      <c r="B2" s="197" t="s">
        <v>225</v>
      </c>
      <c r="C2" s="170"/>
      <c r="D2" s="30">
        <v>8280</v>
      </c>
      <c r="E2" s="153" t="s">
        <v>251</v>
      </c>
      <c r="F2" s="169" t="s">
        <v>183</v>
      </c>
      <c r="G2" s="170"/>
      <c r="H2" s="32">
        <v>15</v>
      </c>
      <c r="I2" s="158" t="s">
        <v>228</v>
      </c>
      <c r="J2" s="149" t="s">
        <v>223</v>
      </c>
      <c r="K2" s="149">
        <v>24</v>
      </c>
      <c r="N2" s="17"/>
      <c r="O2" s="17"/>
      <c r="P2" s="17"/>
      <c r="Q2" s="17"/>
      <c r="R2" s="239"/>
      <c r="S2" s="239"/>
      <c r="T2" s="239"/>
      <c r="U2" s="239"/>
      <c r="V2" s="17"/>
      <c r="W2" s="17"/>
      <c r="X2" s="17"/>
      <c r="Y2" s="17"/>
      <c r="Z2" s="17"/>
    </row>
    <row r="3" spans="2:26" s="11" customFormat="1" ht="20.25" x14ac:dyDescent="0.4">
      <c r="B3" s="170" t="s">
        <v>244</v>
      </c>
      <c r="C3" s="170"/>
      <c r="D3" s="31">
        <v>78</v>
      </c>
      <c r="E3" s="1" t="s">
        <v>226</v>
      </c>
      <c r="F3" s="169" t="s">
        <v>184</v>
      </c>
      <c r="G3" s="170" t="s">
        <v>40</v>
      </c>
      <c r="H3" s="32">
        <v>200</v>
      </c>
      <c r="I3" s="158" t="s">
        <v>229</v>
      </c>
      <c r="J3" s="149" t="s">
        <v>39</v>
      </c>
      <c r="K3" s="149">
        <f>ROUNDUP(K8/(833.75/10^3)/24,0)</f>
        <v>300</v>
      </c>
      <c r="L3" s="155"/>
      <c r="M3" s="151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2:26" s="11" customFormat="1" ht="20.25" x14ac:dyDescent="0.4">
      <c r="B4" s="170" t="s">
        <v>243</v>
      </c>
      <c r="C4" s="170"/>
      <c r="D4" s="31">
        <v>20</v>
      </c>
      <c r="E4" s="1" t="s">
        <v>227</v>
      </c>
      <c r="F4" s="169" t="s">
        <v>185</v>
      </c>
      <c r="G4" s="170" t="s">
        <v>41</v>
      </c>
      <c r="H4" s="32">
        <v>71</v>
      </c>
      <c r="I4" s="23" t="s">
        <v>230</v>
      </c>
      <c r="J4" s="149" t="s">
        <v>224</v>
      </c>
      <c r="K4" s="157">
        <f>D2/K3/0.8</f>
        <v>34.5</v>
      </c>
      <c r="N4" s="17"/>
      <c r="O4" s="17"/>
      <c r="P4" s="17"/>
      <c r="R4" s="17"/>
      <c r="S4" s="17"/>
      <c r="T4" s="17"/>
      <c r="U4" s="17"/>
      <c r="V4" s="50"/>
      <c r="W4" s="50"/>
      <c r="X4" s="85"/>
      <c r="Y4" s="17"/>
      <c r="Z4" s="17"/>
    </row>
    <row r="5" spans="2:26" s="11" customFormat="1" ht="20.25" x14ac:dyDescent="0.4">
      <c r="F5" s="169" t="s">
        <v>186</v>
      </c>
      <c r="G5" s="170" t="s">
        <v>42</v>
      </c>
      <c r="H5" s="32">
        <v>89</v>
      </c>
      <c r="I5" s="86" t="s">
        <v>231</v>
      </c>
      <c r="J5" s="22" t="s">
        <v>113</v>
      </c>
      <c r="K5" s="89">
        <f>D2*(100-D3)/(100-25)</f>
        <v>2428.8000000000002</v>
      </c>
      <c r="M5" s="152" t="s">
        <v>236</v>
      </c>
      <c r="N5" s="17"/>
      <c r="O5" s="17"/>
      <c r="P5" s="17"/>
      <c r="R5" s="17"/>
      <c r="S5" s="17"/>
      <c r="T5" s="17"/>
      <c r="U5" s="17"/>
      <c r="V5" s="54"/>
      <c r="W5" s="54"/>
      <c r="X5" s="17"/>
      <c r="Y5" s="17"/>
      <c r="Z5" s="17"/>
    </row>
    <row r="6" spans="2:26" s="11" customFormat="1" ht="20.25" x14ac:dyDescent="0.4">
      <c r="F6" s="169" t="s">
        <v>187</v>
      </c>
      <c r="G6" s="170" t="s">
        <v>62</v>
      </c>
      <c r="H6" s="32">
        <v>40</v>
      </c>
      <c r="I6" s="86" t="s">
        <v>232</v>
      </c>
      <c r="J6" s="36" t="s">
        <v>114</v>
      </c>
      <c r="K6" s="89">
        <f>D2-K5</f>
        <v>5851.2</v>
      </c>
      <c r="M6" s="17"/>
      <c r="N6" s="17"/>
      <c r="O6" s="17"/>
      <c r="P6" s="17"/>
      <c r="R6" s="17"/>
      <c r="S6" s="17"/>
      <c r="T6" s="17"/>
      <c r="U6" s="17"/>
      <c r="V6" s="54"/>
      <c r="W6" s="54"/>
      <c r="X6" s="17"/>
      <c r="Y6" s="17"/>
      <c r="Z6" s="17"/>
    </row>
    <row r="7" spans="2:26" s="11" customFormat="1" ht="20.25" x14ac:dyDescent="0.4">
      <c r="B7" s="222" t="s">
        <v>247</v>
      </c>
      <c r="C7" s="222"/>
      <c r="D7" s="222"/>
      <c r="E7" s="223"/>
      <c r="F7" s="169" t="s">
        <v>76</v>
      </c>
      <c r="G7" s="170"/>
      <c r="H7" s="32">
        <v>23000</v>
      </c>
      <c r="I7" s="159" t="s">
        <v>233</v>
      </c>
      <c r="J7" s="22" t="s">
        <v>115</v>
      </c>
      <c r="K7" s="89">
        <f>D2*(100-D3)/(100-D4)</f>
        <v>2277</v>
      </c>
      <c r="M7" s="17"/>
      <c r="N7" s="17"/>
      <c r="O7" s="17"/>
      <c r="P7" s="17"/>
      <c r="S7" s="17"/>
      <c r="T7" s="17"/>
      <c r="U7" s="17"/>
      <c r="V7" s="54"/>
      <c r="W7" s="54"/>
      <c r="X7" s="17"/>
      <c r="Y7" s="17"/>
      <c r="Z7" s="17"/>
    </row>
    <row r="8" spans="2:26" s="11" customFormat="1" ht="20.25" x14ac:dyDescent="0.4">
      <c r="B8" s="222" t="s">
        <v>245</v>
      </c>
      <c r="C8" s="222"/>
      <c r="D8" s="222"/>
      <c r="E8" s="223"/>
      <c r="F8" s="169" t="s">
        <v>140</v>
      </c>
      <c r="G8" s="170"/>
      <c r="H8" s="32">
        <v>19000</v>
      </c>
      <c r="I8" s="25" t="s">
        <v>234</v>
      </c>
      <c r="J8" s="36" t="s">
        <v>116</v>
      </c>
      <c r="K8" s="89">
        <f>D2-K7</f>
        <v>6003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2:26" s="41" customFormat="1" ht="20.25" x14ac:dyDescent="0.4">
      <c r="B9" s="222" t="s">
        <v>246</v>
      </c>
      <c r="C9" s="222"/>
      <c r="D9" s="222"/>
      <c r="E9" s="223"/>
      <c r="F9" s="169" t="s">
        <v>85</v>
      </c>
      <c r="G9" s="170" t="s">
        <v>43</v>
      </c>
      <c r="H9" s="32">
        <v>1.1399999999999999</v>
      </c>
      <c r="I9" s="25" t="s">
        <v>235</v>
      </c>
      <c r="J9" s="22" t="s">
        <v>117</v>
      </c>
      <c r="K9" s="89">
        <f>D2*(100-D3)/100</f>
        <v>1821.6</v>
      </c>
      <c r="L9" s="11"/>
      <c r="M9" s="86"/>
      <c r="O9" s="53"/>
      <c r="Q9" s="47"/>
      <c r="R9" s="47"/>
      <c r="S9" s="47"/>
      <c r="T9" s="47"/>
      <c r="U9" s="47"/>
      <c r="V9" s="47"/>
      <c r="W9" s="47"/>
    </row>
    <row r="10" spans="2:26" s="41" customFormat="1" x14ac:dyDescent="0.4">
      <c r="B10" s="222" t="s">
        <v>250</v>
      </c>
      <c r="C10" s="222"/>
      <c r="D10" s="222"/>
      <c r="E10" s="222"/>
      <c r="I10" s="35"/>
      <c r="O10" s="53"/>
      <c r="Q10" s="47"/>
      <c r="R10" s="47"/>
      <c r="S10" s="47"/>
      <c r="T10" s="47"/>
      <c r="U10" s="47"/>
      <c r="V10" s="47"/>
      <c r="W10" s="47"/>
    </row>
    <row r="11" spans="2:26" s="11" customFormat="1" x14ac:dyDescent="0.4">
      <c r="D11" s="41"/>
      <c r="M11" s="15"/>
      <c r="N11" s="15"/>
      <c r="O11" s="53"/>
      <c r="P11" s="15"/>
      <c r="Q11" s="47"/>
      <c r="R11" s="47"/>
      <c r="S11" s="47"/>
      <c r="T11" s="47"/>
      <c r="U11" s="47"/>
      <c r="V11" s="47"/>
      <c r="W11" s="47"/>
    </row>
    <row r="12" spans="2:26" ht="33" x14ac:dyDescent="0.4">
      <c r="B12" s="8"/>
      <c r="S12" s="26"/>
      <c r="T12" s="17"/>
      <c r="U12" s="17"/>
      <c r="V12" s="17"/>
    </row>
    <row r="13" spans="2:26" x14ac:dyDescent="0.4">
      <c r="B13" s="4" t="s">
        <v>10</v>
      </c>
      <c r="C13" s="4" t="s">
        <v>12</v>
      </c>
      <c r="D13" s="188" t="s">
        <v>11</v>
      </c>
      <c r="E13" s="208"/>
      <c r="F13" s="185"/>
      <c r="G13" s="4" t="s">
        <v>18</v>
      </c>
      <c r="H13" s="188" t="s">
        <v>24</v>
      </c>
      <c r="I13" s="185"/>
      <c r="J13" s="4" t="s">
        <v>8</v>
      </c>
      <c r="K13" s="4" t="s">
        <v>9</v>
      </c>
      <c r="S13" s="17"/>
      <c r="T13" s="17"/>
      <c r="U13" s="17"/>
      <c r="V13" s="17"/>
    </row>
    <row r="14" spans="2:26" s="41" customFormat="1" ht="20.25" x14ac:dyDescent="0.4">
      <c r="B14" s="182" t="s">
        <v>1</v>
      </c>
      <c r="C14" s="182" t="s">
        <v>52</v>
      </c>
      <c r="D14" s="175" t="s">
        <v>54</v>
      </c>
      <c r="E14" s="213" t="s">
        <v>84</v>
      </c>
      <c r="F14" s="213"/>
      <c r="G14" s="55" t="s">
        <v>22</v>
      </c>
      <c r="H14" s="171" t="s">
        <v>45</v>
      </c>
      <c r="I14" s="164"/>
      <c r="J14" s="76">
        <f>12.3*K4^0.941*H9</f>
        <v>392.5524852653225</v>
      </c>
      <c r="K14" s="56" t="s">
        <v>28</v>
      </c>
      <c r="O14" s="53"/>
      <c r="Q14" s="47"/>
      <c r="R14" s="47"/>
      <c r="S14" s="17"/>
      <c r="T14" s="17"/>
      <c r="U14" s="17"/>
      <c r="V14" s="17"/>
      <c r="W14" s="47"/>
    </row>
    <row r="15" spans="2:26" ht="19.5" customHeight="1" x14ac:dyDescent="0.4">
      <c r="B15" s="195"/>
      <c r="C15" s="195"/>
      <c r="D15" s="176"/>
      <c r="E15" s="211" t="s">
        <v>46</v>
      </c>
      <c r="F15" s="212"/>
      <c r="G15" s="55" t="s">
        <v>23</v>
      </c>
      <c r="H15" s="171" t="s">
        <v>47</v>
      </c>
      <c r="I15" s="164"/>
      <c r="J15" s="76">
        <f>J14*N45</f>
        <v>14.094476896073047</v>
      </c>
      <c r="K15" s="56" t="s">
        <v>153</v>
      </c>
      <c r="S15" s="17"/>
      <c r="T15" s="17"/>
      <c r="U15" s="27"/>
      <c r="V15" s="17"/>
    </row>
    <row r="16" spans="2:26" ht="19.5" customHeight="1" x14ac:dyDescent="0.4">
      <c r="B16" s="195"/>
      <c r="C16" s="195"/>
      <c r="D16" s="176"/>
      <c r="E16" s="182" t="s">
        <v>2</v>
      </c>
      <c r="F16" s="182"/>
      <c r="G16" s="55" t="s">
        <v>22</v>
      </c>
      <c r="H16" s="171" t="s">
        <v>44</v>
      </c>
      <c r="I16" s="164"/>
      <c r="J16" s="76">
        <f>46.944*253^0.4681</f>
        <v>625.86520574863039</v>
      </c>
      <c r="K16" s="56" t="s">
        <v>63</v>
      </c>
      <c r="L16" s="33"/>
      <c r="S16" s="49"/>
      <c r="T16" s="49"/>
      <c r="U16" s="27"/>
      <c r="V16" s="17"/>
    </row>
    <row r="17" spans="2:23" s="41" customFormat="1" ht="19.5" customHeight="1" x14ac:dyDescent="0.4">
      <c r="B17" s="195"/>
      <c r="C17" s="195"/>
      <c r="D17" s="176"/>
      <c r="E17" s="209" t="s">
        <v>48</v>
      </c>
      <c r="F17" s="210"/>
      <c r="G17" s="55" t="s">
        <v>23</v>
      </c>
      <c r="H17" s="171" t="s">
        <v>49</v>
      </c>
      <c r="I17" s="164"/>
      <c r="J17" s="76">
        <f>J16*N46</f>
        <v>39.392901727315525</v>
      </c>
      <c r="K17" s="56" t="s">
        <v>29</v>
      </c>
      <c r="O17" s="53"/>
      <c r="Q17" s="47"/>
      <c r="R17" s="47"/>
      <c r="S17" s="49"/>
      <c r="T17" s="49"/>
      <c r="U17" s="27"/>
      <c r="V17" s="17"/>
      <c r="W17" s="47"/>
    </row>
    <row r="18" spans="2:23" ht="19.5" customHeight="1" x14ac:dyDescent="0.4">
      <c r="B18" s="195"/>
      <c r="C18" s="195"/>
      <c r="D18" s="176"/>
      <c r="E18" s="182" t="s">
        <v>3</v>
      </c>
      <c r="F18" s="182"/>
      <c r="G18" s="55" t="s">
        <v>22</v>
      </c>
      <c r="H18" s="171" t="s">
        <v>51</v>
      </c>
      <c r="I18" s="164"/>
      <c r="J18" s="76">
        <f>12.053*253^0.5158</f>
        <v>209.23036919517679</v>
      </c>
      <c r="K18" s="56" t="s">
        <v>95</v>
      </c>
      <c r="S18" s="49"/>
      <c r="T18" s="49"/>
      <c r="U18" s="27"/>
      <c r="V18" s="17"/>
    </row>
    <row r="19" spans="2:23" s="41" customFormat="1" ht="19.5" customHeight="1" x14ac:dyDescent="0.4">
      <c r="B19" s="195"/>
      <c r="C19" s="195"/>
      <c r="D19" s="176"/>
      <c r="E19" s="209" t="s">
        <v>48</v>
      </c>
      <c r="F19" s="210"/>
      <c r="G19" s="55" t="s">
        <v>23</v>
      </c>
      <c r="H19" s="171" t="s">
        <v>50</v>
      </c>
      <c r="I19" s="164"/>
      <c r="J19" s="76">
        <f>J18*N47</f>
        <v>13.169275582617864</v>
      </c>
      <c r="K19" s="56" t="s">
        <v>34</v>
      </c>
      <c r="O19" s="53"/>
      <c r="Q19" s="47"/>
      <c r="R19" s="47"/>
      <c r="S19" s="49"/>
      <c r="T19" s="49"/>
      <c r="U19" s="27"/>
      <c r="V19" s="17"/>
      <c r="W19" s="47"/>
    </row>
    <row r="20" spans="2:23" ht="19.5" customHeight="1" x14ac:dyDescent="0.4">
      <c r="B20" s="195"/>
      <c r="C20" s="195"/>
      <c r="D20" s="195"/>
      <c r="E20" s="171" t="s">
        <v>7</v>
      </c>
      <c r="F20" s="164"/>
      <c r="G20" s="55" t="s">
        <v>22</v>
      </c>
      <c r="H20" s="171" t="s">
        <v>53</v>
      </c>
      <c r="I20" s="164"/>
      <c r="J20" s="76">
        <f>J14+J16+J18</f>
        <v>1227.6480602091297</v>
      </c>
      <c r="K20" s="56" t="s">
        <v>104</v>
      </c>
      <c r="S20" s="49"/>
      <c r="T20" s="49"/>
      <c r="U20" s="27"/>
      <c r="V20" s="17"/>
    </row>
    <row r="21" spans="2:23" ht="19.5" customHeight="1" x14ac:dyDescent="0.4">
      <c r="B21" s="195"/>
      <c r="C21" s="195"/>
      <c r="D21" s="196"/>
      <c r="E21" s="171" t="s">
        <v>5</v>
      </c>
      <c r="F21" s="164"/>
      <c r="G21" s="57" t="s">
        <v>23</v>
      </c>
      <c r="H21" s="202" t="s">
        <v>53</v>
      </c>
      <c r="I21" s="203"/>
      <c r="J21" s="77">
        <f>J15+J17+J19</f>
        <v>66.656654206006436</v>
      </c>
      <c r="K21" s="58" t="s">
        <v>105</v>
      </c>
      <c r="M21" s="38"/>
      <c r="N21" s="38"/>
      <c r="O21" s="51"/>
      <c r="S21" s="49"/>
      <c r="T21" s="49"/>
      <c r="U21" s="5"/>
      <c r="V21" s="17"/>
    </row>
    <row r="22" spans="2:23" s="15" customFormat="1" ht="19.5" customHeight="1" x14ac:dyDescent="0.4">
      <c r="B22" s="195"/>
      <c r="C22" s="195"/>
      <c r="D22" s="175" t="s">
        <v>55</v>
      </c>
      <c r="E22" s="216" t="s">
        <v>56</v>
      </c>
      <c r="F22" s="217"/>
      <c r="G22" s="175" t="s">
        <v>23</v>
      </c>
      <c r="H22" s="163" t="s">
        <v>118</v>
      </c>
      <c r="I22" s="164"/>
      <c r="J22" s="76">
        <f>H8*K5*10^(-6)</f>
        <v>46.147199999999998</v>
      </c>
      <c r="K22" s="59" t="s">
        <v>87</v>
      </c>
      <c r="M22" s="178"/>
      <c r="N22" s="178"/>
      <c r="O22" s="51"/>
      <c r="Q22" s="47"/>
      <c r="R22" s="47"/>
      <c r="S22" s="49"/>
      <c r="T22" s="49"/>
      <c r="U22" s="5"/>
      <c r="V22" s="17"/>
      <c r="W22" s="47"/>
    </row>
    <row r="23" spans="2:23" s="41" customFormat="1" ht="19.5" customHeight="1" x14ac:dyDescent="0.4">
      <c r="B23" s="195"/>
      <c r="C23" s="195"/>
      <c r="D23" s="176"/>
      <c r="E23" s="172" t="s">
        <v>57</v>
      </c>
      <c r="F23" s="60" t="s">
        <v>61</v>
      </c>
      <c r="G23" s="176"/>
      <c r="H23" s="163" t="s">
        <v>64</v>
      </c>
      <c r="I23" s="164"/>
      <c r="J23" s="76">
        <f>202.32*K9^0.4541*10^(-3)</f>
        <v>6.1180149181409611</v>
      </c>
      <c r="K23" s="59" t="s">
        <v>77</v>
      </c>
      <c r="M23" s="38"/>
      <c r="N23" s="38"/>
      <c r="O23" s="51"/>
      <c r="Q23" s="47"/>
      <c r="V23" s="17"/>
      <c r="W23" s="47"/>
    </row>
    <row r="24" spans="2:23" s="41" customFormat="1" ht="19.5" customHeight="1" x14ac:dyDescent="0.4">
      <c r="B24" s="195"/>
      <c r="C24" s="195"/>
      <c r="D24" s="176"/>
      <c r="E24" s="173"/>
      <c r="F24" s="61" t="s">
        <v>60</v>
      </c>
      <c r="G24" s="176"/>
      <c r="H24" s="163" t="s">
        <v>65</v>
      </c>
      <c r="I24" s="164"/>
      <c r="J24" s="76">
        <f>41*K9*10^(-3)</f>
        <v>74.685599999999994</v>
      </c>
      <c r="K24" s="59" t="s">
        <v>78</v>
      </c>
      <c r="M24" s="38"/>
      <c r="N24" s="38"/>
      <c r="O24" s="51"/>
      <c r="Q24" s="47"/>
      <c r="R24" s="47"/>
      <c r="S24" s="49"/>
      <c r="T24" s="49"/>
      <c r="U24" s="5"/>
      <c r="V24" s="17"/>
      <c r="W24" s="47"/>
    </row>
    <row r="25" spans="2:23" s="41" customFormat="1" ht="19.5" customHeight="1" x14ac:dyDescent="0.4">
      <c r="B25" s="195"/>
      <c r="C25" s="195"/>
      <c r="D25" s="176"/>
      <c r="E25" s="173"/>
      <c r="F25" s="60" t="s">
        <v>59</v>
      </c>
      <c r="G25" s="176"/>
      <c r="H25" s="163" t="s">
        <v>66</v>
      </c>
      <c r="I25" s="164"/>
      <c r="J25" s="76">
        <f>17.144*K9^0.8866*10^(-3)</f>
        <v>13.329989380999045</v>
      </c>
      <c r="K25" s="59" t="s">
        <v>79</v>
      </c>
      <c r="M25" s="38"/>
      <c r="N25" s="38"/>
      <c r="O25" s="51"/>
      <c r="Q25" s="47"/>
      <c r="R25" s="47"/>
      <c r="S25" s="49"/>
      <c r="T25" s="49"/>
      <c r="U25" s="5"/>
      <c r="V25" s="17"/>
      <c r="W25" s="47"/>
    </row>
    <row r="26" spans="2:23" s="41" customFormat="1" ht="19.5" customHeight="1" x14ac:dyDescent="0.4">
      <c r="B26" s="195"/>
      <c r="C26" s="195"/>
      <c r="D26" s="176"/>
      <c r="E26" s="173"/>
      <c r="F26" s="62" t="s">
        <v>170</v>
      </c>
      <c r="G26" s="176"/>
      <c r="H26" s="163" t="s">
        <v>119</v>
      </c>
      <c r="I26" s="164"/>
      <c r="J26" s="76">
        <f>1.3*K6/6003</f>
        <v>1.2671264367816093</v>
      </c>
      <c r="K26" s="59" t="s">
        <v>80</v>
      </c>
      <c r="M26" s="38"/>
      <c r="N26" s="38"/>
      <c r="O26" s="51"/>
      <c r="Q26" s="47"/>
      <c r="R26" s="47"/>
      <c r="S26" s="49"/>
      <c r="T26" s="49"/>
      <c r="U26" s="5"/>
      <c r="V26" s="17"/>
      <c r="W26" s="47"/>
    </row>
    <row r="27" spans="2:23" ht="19.5" customHeight="1" x14ac:dyDescent="0.4">
      <c r="B27" s="195"/>
      <c r="C27" s="195"/>
      <c r="D27" s="176"/>
      <c r="E27" s="173"/>
      <c r="F27" s="63" t="s">
        <v>58</v>
      </c>
      <c r="G27" s="176"/>
      <c r="H27" s="163" t="s">
        <v>70</v>
      </c>
      <c r="I27" s="164"/>
      <c r="J27" s="76">
        <f>66.755*K9^0.8298*10^(-3)</f>
        <v>33.885017498591417</v>
      </c>
      <c r="K27" s="59" t="s">
        <v>81</v>
      </c>
      <c r="M27" s="38"/>
      <c r="N27" s="38"/>
      <c r="O27" s="51"/>
      <c r="S27" s="49"/>
      <c r="T27" s="49"/>
      <c r="U27" s="17"/>
      <c r="V27" s="17"/>
    </row>
    <row r="28" spans="2:23" s="47" customFormat="1" ht="19.5" customHeight="1" x14ac:dyDescent="0.4">
      <c r="B28" s="195"/>
      <c r="C28" s="195"/>
      <c r="D28" s="177"/>
      <c r="E28" s="174"/>
      <c r="F28" s="64" t="s">
        <v>68</v>
      </c>
      <c r="G28" s="177"/>
      <c r="H28" s="163" t="s">
        <v>69</v>
      </c>
      <c r="I28" s="164"/>
      <c r="J28" s="78">
        <f>J23+J24+J25+J26+J27</f>
        <v>129.28574823451302</v>
      </c>
      <c r="K28" s="65" t="s">
        <v>106</v>
      </c>
      <c r="M28" s="49"/>
      <c r="N28" s="49"/>
      <c r="O28" s="51"/>
      <c r="S28" s="49"/>
      <c r="T28" s="49"/>
      <c r="U28" s="17"/>
      <c r="V28" s="17"/>
    </row>
    <row r="29" spans="2:23" s="15" customFormat="1" ht="9.75" customHeight="1" x14ac:dyDescent="0.4">
      <c r="B29" s="195"/>
      <c r="C29" s="195"/>
      <c r="D29" s="218" t="s">
        <v>36</v>
      </c>
      <c r="E29" s="219"/>
      <c r="F29" s="220"/>
      <c r="G29" s="175" t="s">
        <v>23</v>
      </c>
      <c r="H29" s="204" t="s">
        <v>25</v>
      </c>
      <c r="I29" s="205"/>
      <c r="J29" s="161">
        <f>J21+J22+J28</f>
        <v>242.08960244051946</v>
      </c>
      <c r="K29" s="182" t="s">
        <v>107</v>
      </c>
      <c r="M29" s="178"/>
      <c r="N29" s="178"/>
      <c r="O29" s="51"/>
      <c r="Q29" s="47"/>
      <c r="R29" s="47"/>
      <c r="S29" s="49"/>
      <c r="T29" s="49"/>
      <c r="U29" s="17"/>
      <c r="V29" s="17"/>
      <c r="W29" s="47"/>
    </row>
    <row r="30" spans="2:23" ht="9.75" customHeight="1" x14ac:dyDescent="0.4">
      <c r="B30" s="196"/>
      <c r="C30" s="196"/>
      <c r="D30" s="206"/>
      <c r="E30" s="221"/>
      <c r="F30" s="207"/>
      <c r="G30" s="177"/>
      <c r="H30" s="206"/>
      <c r="I30" s="207"/>
      <c r="J30" s="162"/>
      <c r="K30" s="183"/>
      <c r="M30" s="178"/>
      <c r="N30" s="178"/>
      <c r="O30" s="51"/>
      <c r="S30" s="9"/>
      <c r="T30" s="49"/>
      <c r="U30" s="17"/>
      <c r="V30" s="17"/>
    </row>
    <row r="31" spans="2:23" s="47" customFormat="1" ht="19.5" customHeight="1" x14ac:dyDescent="0.4">
      <c r="B31" s="228" t="s">
        <v>71</v>
      </c>
      <c r="C31" s="228"/>
      <c r="D31" s="134" t="s">
        <v>72</v>
      </c>
      <c r="E31" s="229" t="s">
        <v>73</v>
      </c>
      <c r="F31" s="230"/>
      <c r="G31" s="135" t="s">
        <v>23</v>
      </c>
      <c r="H31" s="231" t="s">
        <v>74</v>
      </c>
      <c r="I31" s="232"/>
      <c r="J31" s="136">
        <f>H7*D2*10^(-6)</f>
        <v>190.44</v>
      </c>
      <c r="K31" s="137" t="s">
        <v>75</v>
      </c>
      <c r="M31" s="49"/>
      <c r="N31" s="49"/>
      <c r="O31" s="51"/>
      <c r="S31" s="9"/>
      <c r="T31" s="49"/>
      <c r="U31" s="17"/>
      <c r="V31" s="17"/>
    </row>
    <row r="32" spans="2:23" ht="19.5" customHeight="1" x14ac:dyDescent="0.4">
      <c r="B32" s="226" t="s">
        <v>6</v>
      </c>
      <c r="C32" s="247" t="s">
        <v>82</v>
      </c>
      <c r="D32" s="224" t="s">
        <v>83</v>
      </c>
      <c r="E32" s="233" t="s">
        <v>84</v>
      </c>
      <c r="F32" s="234"/>
      <c r="G32" s="67" t="s">
        <v>22</v>
      </c>
      <c r="H32" s="199" t="s">
        <v>86</v>
      </c>
      <c r="I32" s="200"/>
      <c r="J32" s="79">
        <f>344.3*H9</f>
        <v>392.50199999999995</v>
      </c>
      <c r="K32" s="68" t="s">
        <v>89</v>
      </c>
      <c r="M32" s="38"/>
      <c r="N32" s="38"/>
      <c r="O32" s="51"/>
      <c r="S32" s="49"/>
      <c r="T32" s="49"/>
      <c r="U32" s="17"/>
      <c r="V32" s="17"/>
    </row>
    <row r="33" spans="2:25" ht="19.5" customHeight="1" x14ac:dyDescent="0.4">
      <c r="B33" s="181"/>
      <c r="C33" s="248"/>
      <c r="D33" s="170"/>
      <c r="E33" s="235" t="s">
        <v>48</v>
      </c>
      <c r="F33" s="236"/>
      <c r="G33" s="67" t="s">
        <v>23</v>
      </c>
      <c r="H33" s="199" t="s">
        <v>88</v>
      </c>
      <c r="I33" s="200"/>
      <c r="J33" s="79">
        <f>J32*0.0359</f>
        <v>14.090821799999999</v>
      </c>
      <c r="K33" s="68" t="s">
        <v>90</v>
      </c>
      <c r="S33" s="49"/>
      <c r="T33" s="49"/>
      <c r="U33" s="27"/>
      <c r="V33" s="17"/>
    </row>
    <row r="34" spans="2:25" ht="19.5" customHeight="1" x14ac:dyDescent="0.4">
      <c r="B34" s="181"/>
      <c r="C34" s="248"/>
      <c r="D34" s="170"/>
      <c r="E34" s="233" t="s">
        <v>2</v>
      </c>
      <c r="F34" s="234"/>
      <c r="G34" s="67" t="s">
        <v>22</v>
      </c>
      <c r="H34" s="199" t="s">
        <v>92</v>
      </c>
      <c r="I34" s="200"/>
      <c r="J34" s="79">
        <f>493</f>
        <v>493</v>
      </c>
      <c r="K34" s="68" t="s">
        <v>93</v>
      </c>
      <c r="S34" s="49"/>
      <c r="T34" s="49"/>
      <c r="U34" s="27"/>
      <c r="V34" s="17"/>
    </row>
    <row r="35" spans="2:25" ht="19.5" customHeight="1" x14ac:dyDescent="0.4">
      <c r="B35" s="181"/>
      <c r="C35" s="248"/>
      <c r="D35" s="170"/>
      <c r="E35" s="235" t="s">
        <v>48</v>
      </c>
      <c r="F35" s="236"/>
      <c r="G35" s="67" t="s">
        <v>23</v>
      </c>
      <c r="H35" s="199" t="s">
        <v>94</v>
      </c>
      <c r="I35" s="200"/>
      <c r="J35" s="79">
        <f>J34*0.06294</f>
        <v>31.029419999999998</v>
      </c>
      <c r="K35" s="68" t="s">
        <v>96</v>
      </c>
      <c r="S35" s="49"/>
      <c r="T35" s="49"/>
      <c r="U35" s="5"/>
      <c r="V35" s="17"/>
    </row>
    <row r="36" spans="2:25" ht="19.5" customHeight="1" x14ac:dyDescent="0.4">
      <c r="B36" s="181"/>
      <c r="C36" s="248"/>
      <c r="D36" s="170"/>
      <c r="E36" s="237" t="s">
        <v>91</v>
      </c>
      <c r="F36" s="238"/>
      <c r="G36" s="67" t="s">
        <v>22</v>
      </c>
      <c r="H36" s="198" t="s">
        <v>141</v>
      </c>
      <c r="I36" s="201"/>
      <c r="J36" s="79">
        <f>209.2</f>
        <v>209.2</v>
      </c>
      <c r="K36" s="68" t="s">
        <v>98</v>
      </c>
      <c r="S36" s="49"/>
      <c r="T36" s="49"/>
      <c r="U36" s="27"/>
      <c r="V36" s="17"/>
    </row>
    <row r="37" spans="2:25" s="15" customFormat="1" ht="19.5" customHeight="1" x14ac:dyDescent="0.4">
      <c r="B37" s="181"/>
      <c r="C37" s="248"/>
      <c r="D37" s="170"/>
      <c r="E37" s="235" t="s">
        <v>48</v>
      </c>
      <c r="F37" s="236"/>
      <c r="G37" s="67" t="s">
        <v>23</v>
      </c>
      <c r="H37" s="198" t="s">
        <v>97</v>
      </c>
      <c r="I37" s="185"/>
      <c r="J37" s="80">
        <f>J36*0.06294</f>
        <v>13.167047999999998</v>
      </c>
      <c r="K37" s="71" t="s">
        <v>99</v>
      </c>
      <c r="M37" s="34" t="s">
        <v>37</v>
      </c>
      <c r="N37" s="30">
        <v>2.2999999999999998</v>
      </c>
      <c r="O37" s="160" t="s">
        <v>241</v>
      </c>
      <c r="Q37" s="47"/>
      <c r="R37" s="47"/>
      <c r="S37" s="49"/>
      <c r="T37" s="49"/>
      <c r="U37" s="27"/>
      <c r="V37" s="17"/>
      <c r="W37" s="47"/>
    </row>
    <row r="38" spans="2:25" ht="19.5" customHeight="1" x14ac:dyDescent="0.4">
      <c r="B38" s="181"/>
      <c r="C38" s="248"/>
      <c r="D38" s="170"/>
      <c r="E38" s="198" t="s">
        <v>100</v>
      </c>
      <c r="F38" s="185"/>
      <c r="G38" s="70" t="s">
        <v>102</v>
      </c>
      <c r="H38" s="198" t="s">
        <v>137</v>
      </c>
      <c r="I38" s="185"/>
      <c r="J38" s="81">
        <f>J32+J34+J36</f>
        <v>1094.702</v>
      </c>
      <c r="K38" s="72" t="s">
        <v>103</v>
      </c>
      <c r="M38" s="19"/>
      <c r="N38" s="17"/>
      <c r="O38" s="150"/>
      <c r="S38" s="49"/>
      <c r="T38" s="49"/>
      <c r="U38" s="28"/>
      <c r="V38" s="17"/>
    </row>
    <row r="39" spans="2:25" s="15" customFormat="1" ht="19.5" customHeight="1" x14ac:dyDescent="0.4">
      <c r="B39" s="181"/>
      <c r="C39" s="248"/>
      <c r="D39" s="170"/>
      <c r="E39" s="198" t="s">
        <v>101</v>
      </c>
      <c r="F39" s="185"/>
      <c r="G39" s="70" t="s">
        <v>23</v>
      </c>
      <c r="H39" s="198" t="s">
        <v>138</v>
      </c>
      <c r="I39" s="185"/>
      <c r="J39" s="82">
        <f>J33+J35+J37</f>
        <v>58.287289799999996</v>
      </c>
      <c r="K39" s="68" t="s">
        <v>108</v>
      </c>
      <c r="M39" s="170" t="s">
        <v>38</v>
      </c>
      <c r="N39" s="170"/>
      <c r="O39" s="150"/>
      <c r="Q39" s="47"/>
      <c r="R39" s="47"/>
      <c r="S39" s="49"/>
      <c r="T39" s="49"/>
      <c r="U39" s="28"/>
      <c r="V39" s="17"/>
      <c r="W39" s="47"/>
    </row>
    <row r="40" spans="2:25" ht="19.5" customHeight="1" x14ac:dyDescent="0.4">
      <c r="B40" s="181"/>
      <c r="C40" s="248"/>
      <c r="D40" s="224" t="s">
        <v>72</v>
      </c>
      <c r="E40" s="233" t="s">
        <v>73</v>
      </c>
      <c r="F40" s="234"/>
      <c r="G40" s="256" t="s">
        <v>23</v>
      </c>
      <c r="H40" s="199" t="s">
        <v>120</v>
      </c>
      <c r="I40" s="201"/>
      <c r="J40" s="81">
        <f>H8*K7*10^(-6)</f>
        <v>43.262999999999998</v>
      </c>
      <c r="K40" s="69" t="s">
        <v>121</v>
      </c>
      <c r="M40" s="14" t="s">
        <v>148</v>
      </c>
      <c r="N40" s="30">
        <v>45</v>
      </c>
      <c r="O40" s="160" t="s">
        <v>242</v>
      </c>
      <c r="S40" s="49"/>
      <c r="T40" s="49"/>
      <c r="U40" s="5"/>
      <c r="V40" s="17"/>
    </row>
    <row r="41" spans="2:25" s="15" customFormat="1" ht="19.5" customHeight="1" x14ac:dyDescent="0.4">
      <c r="B41" s="181"/>
      <c r="C41" s="248"/>
      <c r="D41" s="170"/>
      <c r="E41" s="226" t="s">
        <v>57</v>
      </c>
      <c r="F41" s="66" t="s">
        <v>109</v>
      </c>
      <c r="G41" s="257"/>
      <c r="H41" s="199" t="s">
        <v>122</v>
      </c>
      <c r="I41" s="185"/>
      <c r="J41" s="79">
        <f>29.9*K8/6003</f>
        <v>29.9</v>
      </c>
      <c r="K41" s="66" t="s">
        <v>123</v>
      </c>
      <c r="M41" s="14" t="s">
        <v>147</v>
      </c>
      <c r="N41" s="30">
        <v>20</v>
      </c>
      <c r="O41" s="160" t="s">
        <v>227</v>
      </c>
      <c r="Q41" s="47"/>
      <c r="R41" s="47"/>
      <c r="S41" s="49"/>
      <c r="T41" s="49"/>
      <c r="U41" s="5"/>
      <c r="V41" s="17"/>
      <c r="W41" s="47"/>
    </row>
    <row r="42" spans="2:25" ht="19.5" customHeight="1" x14ac:dyDescent="0.4">
      <c r="B42" s="181"/>
      <c r="C42" s="248"/>
      <c r="D42" s="170"/>
      <c r="E42" s="181"/>
      <c r="F42" s="66" t="s">
        <v>110</v>
      </c>
      <c r="G42" s="257"/>
      <c r="H42" s="199" t="s">
        <v>124</v>
      </c>
      <c r="I42" s="185"/>
      <c r="J42" s="79">
        <f>9.2*K8/6003</f>
        <v>9.1999999999999993</v>
      </c>
      <c r="K42" s="66" t="s">
        <v>126</v>
      </c>
      <c r="M42" s="6" t="s">
        <v>35</v>
      </c>
      <c r="N42" s="30">
        <v>20</v>
      </c>
      <c r="O42" s="160" t="s">
        <v>227</v>
      </c>
      <c r="S42" s="29"/>
      <c r="T42" s="29"/>
      <c r="U42" s="5"/>
      <c r="V42" s="17"/>
    </row>
    <row r="43" spans="2:25" ht="19.5" customHeight="1" x14ac:dyDescent="0.4">
      <c r="B43" s="181"/>
      <c r="C43" s="248"/>
      <c r="D43" s="170"/>
      <c r="E43" s="181"/>
      <c r="F43" s="66" t="s">
        <v>111</v>
      </c>
      <c r="G43" s="257"/>
      <c r="H43" s="199" t="s">
        <v>125</v>
      </c>
      <c r="I43" s="185"/>
      <c r="J43" s="83">
        <f>J34*3.3/100</f>
        <v>16.268999999999998</v>
      </c>
      <c r="K43" s="74" t="s">
        <v>127</v>
      </c>
      <c r="M43" s="16"/>
      <c r="N43" s="16"/>
      <c r="O43" s="17"/>
      <c r="U43" s="5"/>
      <c r="V43" s="17"/>
    </row>
    <row r="44" spans="2:25" s="15" customFormat="1" ht="19.5" customHeight="1" x14ac:dyDescent="0.4">
      <c r="B44" s="181"/>
      <c r="C44" s="248"/>
      <c r="D44" s="170"/>
      <c r="E44" s="181"/>
      <c r="F44" s="66" t="s">
        <v>171</v>
      </c>
      <c r="G44" s="257"/>
      <c r="H44" s="199" t="s">
        <v>128</v>
      </c>
      <c r="I44" s="185"/>
      <c r="J44" s="83">
        <f>1.3*K8/6003</f>
        <v>1.3</v>
      </c>
      <c r="K44" s="74" t="s">
        <v>129</v>
      </c>
      <c r="M44" s="170" t="s">
        <v>149</v>
      </c>
      <c r="N44" s="170"/>
      <c r="O44" s="17"/>
      <c r="Q44" s="47"/>
      <c r="R44" s="47"/>
      <c r="S44" s="47"/>
      <c r="T44" s="47"/>
      <c r="U44" s="5"/>
      <c r="V44" s="17"/>
      <c r="W44" s="47"/>
    </row>
    <row r="45" spans="2:25" s="15" customFormat="1" ht="19.5" customHeight="1" x14ac:dyDescent="0.4">
      <c r="B45" s="181"/>
      <c r="C45" s="248"/>
      <c r="D45" s="170"/>
      <c r="E45" s="181"/>
      <c r="F45" s="66" t="s">
        <v>112</v>
      </c>
      <c r="G45" s="257"/>
      <c r="H45" s="199" t="s">
        <v>130</v>
      </c>
      <c r="I45" s="185"/>
      <c r="J45" s="83">
        <f>5.6</f>
        <v>5.6</v>
      </c>
      <c r="K45" s="74" t="s">
        <v>131</v>
      </c>
      <c r="M45" s="46" t="s">
        <v>150</v>
      </c>
      <c r="N45" s="88">
        <f>N37/100*(1+N37/100)^N40/((1+N37/100)^N40-1)</f>
        <v>3.590469408580288E-2</v>
      </c>
      <c r="O45" s="132"/>
      <c r="Q45" s="47"/>
      <c r="R45" s="47"/>
      <c r="S45" s="47"/>
      <c r="T45" s="47"/>
      <c r="U45" s="5"/>
      <c r="V45" s="17"/>
      <c r="W45" s="47"/>
    </row>
    <row r="46" spans="2:25" ht="19.5" customHeight="1" x14ac:dyDescent="0.4">
      <c r="B46" s="181"/>
      <c r="C46" s="248"/>
      <c r="D46" s="170"/>
      <c r="E46" s="181"/>
      <c r="F46" s="66" t="s">
        <v>68</v>
      </c>
      <c r="G46" s="258"/>
      <c r="H46" s="198" t="s">
        <v>136</v>
      </c>
      <c r="I46" s="185"/>
      <c r="J46" s="79">
        <f>J41+J42+J43+J44+J45</f>
        <v>62.268999999999991</v>
      </c>
      <c r="K46" s="68" t="s">
        <v>132</v>
      </c>
      <c r="L46" s="17"/>
      <c r="M46" s="46" t="s">
        <v>151</v>
      </c>
      <c r="N46" s="88">
        <f>N37/100*(1+N37/100)^N41/((1+N37/100)^N41-1)</f>
        <v>6.2941510992284025E-2</v>
      </c>
      <c r="O46" s="132"/>
      <c r="P46" s="17"/>
      <c r="Q46" s="17"/>
      <c r="R46" s="17"/>
      <c r="S46" s="9"/>
      <c r="T46" s="49"/>
      <c r="U46" s="49"/>
      <c r="V46" s="17"/>
      <c r="W46" s="17"/>
      <c r="X46" s="17"/>
      <c r="Y46" s="17"/>
    </row>
    <row r="47" spans="2:25" s="15" customFormat="1" ht="19.5" customHeight="1" x14ac:dyDescent="0.4">
      <c r="B47" s="181"/>
      <c r="C47" s="248"/>
      <c r="D47" s="225"/>
      <c r="E47" s="226" t="s">
        <v>133</v>
      </c>
      <c r="F47" s="181"/>
      <c r="G47" s="70" t="s">
        <v>102</v>
      </c>
      <c r="H47" s="227" t="s">
        <v>137</v>
      </c>
      <c r="I47" s="170"/>
      <c r="J47" s="75">
        <v>70</v>
      </c>
      <c r="K47" s="84" t="s">
        <v>134</v>
      </c>
      <c r="L47" s="17"/>
      <c r="M47" s="6" t="s">
        <v>152</v>
      </c>
      <c r="N47" s="88">
        <f>N37/100*(1+N37/100)^N42/((1+N37/100)^N42-1)</f>
        <v>6.2941510992284025E-2</v>
      </c>
      <c r="O47" s="132"/>
      <c r="P47" s="17"/>
      <c r="Q47" s="17"/>
      <c r="R47" s="17"/>
      <c r="S47" s="9"/>
      <c r="T47" s="49"/>
      <c r="U47" s="49"/>
      <c r="V47" s="17"/>
      <c r="W47" s="17"/>
      <c r="X47" s="17"/>
      <c r="Y47" s="17"/>
    </row>
    <row r="48" spans="2:25" ht="19.5" customHeight="1" x14ac:dyDescent="0.4">
      <c r="B48" s="249"/>
      <c r="C48" s="248"/>
      <c r="D48" s="244" t="s">
        <v>135</v>
      </c>
      <c r="E48" s="244"/>
      <c r="F48" s="244"/>
      <c r="G48" s="99" t="s">
        <v>23</v>
      </c>
      <c r="H48" s="245" t="s">
        <v>137</v>
      </c>
      <c r="I48" s="246"/>
      <c r="J48" s="138">
        <f>J39+J40+J46</f>
        <v>163.81928979999998</v>
      </c>
      <c r="K48" s="95" t="s">
        <v>139</v>
      </c>
      <c r="L48" s="17"/>
      <c r="M48" s="47"/>
      <c r="N48" s="47"/>
      <c r="P48" s="17"/>
      <c r="Q48" s="17"/>
      <c r="R48" s="17"/>
      <c r="S48" s="49"/>
      <c r="T48" s="49"/>
      <c r="U48" s="49"/>
      <c r="V48" s="17"/>
      <c r="W48" s="17"/>
      <c r="X48" s="17"/>
      <c r="Y48" s="17"/>
    </row>
    <row r="49" spans="2:23" s="47" customFormat="1" ht="19.5" customHeight="1" x14ac:dyDescent="0.4">
      <c r="B49" s="252"/>
      <c r="C49" s="225"/>
      <c r="D49" s="225"/>
      <c r="E49" s="225"/>
      <c r="F49" s="225"/>
      <c r="G49" s="225"/>
      <c r="H49" s="225"/>
      <c r="I49" s="225"/>
      <c r="J49" s="225"/>
      <c r="K49" s="225"/>
      <c r="M49" s="15"/>
      <c r="N49" s="15"/>
      <c r="O49" s="53"/>
      <c r="S49" s="49"/>
      <c r="T49" s="49"/>
      <c r="U49" s="49"/>
      <c r="V49" s="17"/>
    </row>
    <row r="50" spans="2:23" s="47" customFormat="1" ht="39" customHeight="1" x14ac:dyDescent="0.4">
      <c r="B50" s="254" t="s">
        <v>143</v>
      </c>
      <c r="C50" s="255"/>
      <c r="D50" s="253" t="s">
        <v>142</v>
      </c>
      <c r="E50" s="208"/>
      <c r="F50" s="185"/>
      <c r="G50" s="139" t="s">
        <v>31</v>
      </c>
      <c r="H50" s="250" t="s">
        <v>25</v>
      </c>
      <c r="I50" s="251"/>
      <c r="J50" s="140">
        <f>(1-J48/J29)</f>
        <v>0.32331133535464507</v>
      </c>
      <c r="K50" s="141" t="s">
        <v>145</v>
      </c>
      <c r="M50" s="20"/>
      <c r="N50" s="20"/>
      <c r="O50" s="53"/>
    </row>
    <row r="51" spans="2:23" ht="39" customHeight="1" x14ac:dyDescent="0.4">
      <c r="B51" s="254" t="s">
        <v>144</v>
      </c>
      <c r="C51" s="255"/>
      <c r="D51" s="215" t="s">
        <v>142</v>
      </c>
      <c r="E51" s="170"/>
      <c r="F51" s="170"/>
      <c r="G51" s="142" t="s">
        <v>31</v>
      </c>
      <c r="H51" s="189" t="s">
        <v>25</v>
      </c>
      <c r="I51" s="190"/>
      <c r="J51" s="143">
        <f>(1-J48/J31)</f>
        <v>0.13978528775467347</v>
      </c>
      <c r="K51" s="144" t="s">
        <v>146</v>
      </c>
    </row>
    <row r="52" spans="2:23" s="20" customFormat="1" ht="19.5" customHeight="1" x14ac:dyDescent="0.4">
      <c r="D52" s="41"/>
      <c r="F52" s="41"/>
      <c r="M52" s="15"/>
      <c r="N52" s="15"/>
      <c r="O52" s="53"/>
      <c r="Q52" s="47"/>
      <c r="R52" s="47"/>
      <c r="S52" s="47"/>
      <c r="T52" s="47"/>
      <c r="U52" s="47"/>
      <c r="V52" s="47"/>
      <c r="W52" s="47"/>
    </row>
    <row r="53" spans="2:23" ht="33" x14ac:dyDescent="0.4">
      <c r="B53" s="8" t="s">
        <v>13</v>
      </c>
    </row>
    <row r="54" spans="2:23" ht="19.5" customHeight="1" x14ac:dyDescent="0.4">
      <c r="B54" s="170" t="s">
        <v>11</v>
      </c>
      <c r="C54" s="170"/>
      <c r="D54" s="170"/>
      <c r="E54" s="170"/>
      <c r="F54" s="39"/>
      <c r="G54" s="4" t="s">
        <v>18</v>
      </c>
      <c r="H54" s="188" t="s">
        <v>17</v>
      </c>
      <c r="I54" s="185"/>
      <c r="J54" s="10" t="s">
        <v>30</v>
      </c>
    </row>
    <row r="55" spans="2:23" ht="19.5" customHeight="1" x14ac:dyDescent="0.4">
      <c r="B55" s="181" t="s">
        <v>0</v>
      </c>
      <c r="C55" s="181"/>
      <c r="D55" s="40"/>
      <c r="E55" s="18" t="s">
        <v>7</v>
      </c>
      <c r="F55" s="40"/>
      <c r="G55" s="4" t="s">
        <v>15</v>
      </c>
      <c r="H55" s="191">
        <f>J38</f>
        <v>1094.702</v>
      </c>
      <c r="I55" s="192"/>
      <c r="J55" s="12" t="s">
        <v>199</v>
      </c>
    </row>
    <row r="56" spans="2:23" ht="19.5" customHeight="1" x14ac:dyDescent="0.4">
      <c r="B56" s="181" t="s">
        <v>4</v>
      </c>
      <c r="C56" s="181"/>
      <c r="D56" s="40"/>
      <c r="E56" s="18" t="s">
        <v>14</v>
      </c>
      <c r="F56" s="37"/>
      <c r="G56" s="45" t="s">
        <v>16</v>
      </c>
      <c r="H56" s="184">
        <f>J40+J46</f>
        <v>105.53199999999998</v>
      </c>
      <c r="I56" s="185"/>
      <c r="J56" s="7" t="s">
        <v>200</v>
      </c>
    </row>
    <row r="57" spans="2:23" ht="39" customHeight="1" x14ac:dyDescent="0.4">
      <c r="B57" s="214" t="s">
        <v>13</v>
      </c>
      <c r="C57" s="215"/>
      <c r="D57" s="215"/>
      <c r="E57" s="215"/>
      <c r="F57" s="43"/>
      <c r="G57" s="142" t="s">
        <v>19</v>
      </c>
      <c r="H57" s="186">
        <f>H55/H56</f>
        <v>10.373175908729108</v>
      </c>
      <c r="I57" s="187"/>
      <c r="J57" s="145" t="s">
        <v>201</v>
      </c>
    </row>
    <row r="58" spans="2:23" ht="19.5" customHeight="1" x14ac:dyDescent="0.4"/>
    <row r="59" spans="2:23" ht="33" x14ac:dyDescent="0.4">
      <c r="B59" s="8" t="s">
        <v>20</v>
      </c>
      <c r="M59" s="87"/>
      <c r="N59" s="49"/>
      <c r="O59" s="51"/>
    </row>
    <row r="60" spans="2:23" ht="19.5" customHeight="1" x14ac:dyDescent="0.4">
      <c r="B60" s="170" t="s">
        <v>11</v>
      </c>
      <c r="C60" s="170"/>
      <c r="D60" s="170"/>
      <c r="E60" s="170"/>
      <c r="F60" s="39"/>
      <c r="G60" s="4" t="s">
        <v>18</v>
      </c>
      <c r="H60" s="188" t="s">
        <v>27</v>
      </c>
      <c r="I60" s="185"/>
      <c r="J60" s="3" t="s">
        <v>175</v>
      </c>
      <c r="K60" s="4" t="s">
        <v>26</v>
      </c>
      <c r="M60" s="52"/>
      <c r="N60" s="170" t="s">
        <v>156</v>
      </c>
      <c r="O60" s="170"/>
    </row>
    <row r="61" spans="2:23" ht="19.5" customHeight="1" x14ac:dyDescent="0.4">
      <c r="B61" s="241" t="s">
        <v>168</v>
      </c>
      <c r="C61" s="243" t="s">
        <v>169</v>
      </c>
      <c r="D61" s="90"/>
      <c r="E61" s="90" t="s">
        <v>154</v>
      </c>
      <c r="F61" s="91"/>
      <c r="G61" s="240" t="s">
        <v>174</v>
      </c>
      <c r="H61" s="167" t="s">
        <v>189</v>
      </c>
      <c r="I61" s="168"/>
      <c r="J61" s="92">
        <f>J23*10^6/H2*O61*10^-3</f>
        <v>3868.2168989099246</v>
      </c>
      <c r="K61" s="93"/>
      <c r="M61" s="52" t="s">
        <v>202</v>
      </c>
      <c r="N61" s="52" t="s">
        <v>157</v>
      </c>
      <c r="O61" s="52">
        <v>9.484</v>
      </c>
    </row>
    <row r="62" spans="2:23" s="13" customFormat="1" ht="19.5" customHeight="1" x14ac:dyDescent="0.4">
      <c r="B62" s="242"/>
      <c r="C62" s="242"/>
      <c r="D62" s="90"/>
      <c r="E62" s="91" t="s">
        <v>172</v>
      </c>
      <c r="F62" s="91"/>
      <c r="G62" s="176"/>
      <c r="H62" s="193" t="s">
        <v>188</v>
      </c>
      <c r="I62" s="194"/>
      <c r="J62" s="92">
        <f>J24*10^6/H4*O62*10^-3</f>
        <v>40919.293521126761</v>
      </c>
      <c r="K62" s="93"/>
      <c r="M62" s="52" t="s">
        <v>203</v>
      </c>
      <c r="N62" s="52" t="s">
        <v>158</v>
      </c>
      <c r="O62" s="52">
        <v>38.9</v>
      </c>
      <c r="P62" s="15"/>
      <c r="Q62" s="47"/>
      <c r="R62" s="47"/>
      <c r="S62" s="47"/>
      <c r="T62" s="47"/>
      <c r="U62" s="47"/>
      <c r="V62" s="47"/>
      <c r="W62" s="47"/>
    </row>
    <row r="63" spans="2:23" s="13" customFormat="1" ht="19.5" customHeight="1" x14ac:dyDescent="0.4">
      <c r="B63" s="242"/>
      <c r="C63" s="242"/>
      <c r="D63" s="90"/>
      <c r="E63" s="91" t="s">
        <v>173</v>
      </c>
      <c r="F63" s="94"/>
      <c r="G63" s="176"/>
      <c r="H63" s="167" t="s">
        <v>181</v>
      </c>
      <c r="I63" s="168"/>
      <c r="J63" s="92">
        <f>J26*10^6/H3*O64*10^-3</f>
        <v>194.503908045977</v>
      </c>
      <c r="K63" s="93"/>
      <c r="M63" s="52" t="s">
        <v>204</v>
      </c>
      <c r="N63" s="52" t="s">
        <v>159</v>
      </c>
      <c r="O63" s="52">
        <v>50.06</v>
      </c>
      <c r="P63" s="15"/>
      <c r="Q63" s="47"/>
      <c r="R63" s="47"/>
      <c r="S63" s="47"/>
      <c r="T63" s="47"/>
      <c r="U63" s="47"/>
      <c r="V63" s="47"/>
      <c r="W63" s="47"/>
    </row>
    <row r="64" spans="2:23" ht="19.5" customHeight="1" x14ac:dyDescent="0.4">
      <c r="B64" s="183"/>
      <c r="C64" s="183"/>
      <c r="D64" s="90"/>
      <c r="E64" s="90" t="s">
        <v>67</v>
      </c>
      <c r="F64" s="90"/>
      <c r="G64" s="176"/>
      <c r="H64" s="167" t="s">
        <v>69</v>
      </c>
      <c r="I64" s="168"/>
      <c r="J64" s="92">
        <f>J61+J62+J63</f>
        <v>44982.01432808266</v>
      </c>
      <c r="K64" s="93"/>
      <c r="M64" s="52" t="s">
        <v>205</v>
      </c>
      <c r="N64" s="52" t="s">
        <v>160</v>
      </c>
      <c r="O64" s="52">
        <v>30.7</v>
      </c>
    </row>
    <row r="65" spans="2:23" s="47" customFormat="1" ht="19.5" customHeight="1" x14ac:dyDescent="0.4">
      <c r="B65" s="247" t="s">
        <v>176</v>
      </c>
      <c r="C65" s="247" t="s">
        <v>177</v>
      </c>
      <c r="D65" s="95"/>
      <c r="E65" s="95" t="s">
        <v>154</v>
      </c>
      <c r="F65" s="73"/>
      <c r="G65" s="261" t="s">
        <v>174</v>
      </c>
      <c r="H65" s="165" t="s">
        <v>180</v>
      </c>
      <c r="I65" s="166"/>
      <c r="J65" s="96">
        <f>J41*10^6/H2*O61*10^-3</f>
        <v>18904.773333333331</v>
      </c>
      <c r="K65" s="97"/>
      <c r="M65" s="52" t="s">
        <v>155</v>
      </c>
      <c r="N65" s="52" t="s">
        <v>161</v>
      </c>
      <c r="O65" s="52">
        <v>11799</v>
      </c>
    </row>
    <row r="66" spans="2:23" ht="19.5" customHeight="1" x14ac:dyDescent="0.4">
      <c r="B66" s="259"/>
      <c r="C66" s="259"/>
      <c r="D66" s="95"/>
      <c r="E66" s="98" t="s">
        <v>172</v>
      </c>
      <c r="F66" s="73"/>
      <c r="G66" s="268"/>
      <c r="H66" s="179" t="s">
        <v>182</v>
      </c>
      <c r="I66" s="180"/>
      <c r="J66" s="96">
        <f>J42*10^6/H5*O63*10^-3</f>
        <v>5174.7415730337079</v>
      </c>
      <c r="K66" s="97"/>
      <c r="M66" s="17"/>
      <c r="N66" s="17"/>
      <c r="O66" s="17"/>
    </row>
    <row r="67" spans="2:23" s="47" customFormat="1" ht="19.5" customHeight="1" x14ac:dyDescent="0.4">
      <c r="B67" s="259"/>
      <c r="C67" s="259"/>
      <c r="D67" s="95"/>
      <c r="E67" s="98" t="s">
        <v>173</v>
      </c>
      <c r="F67" s="95"/>
      <c r="G67" s="268"/>
      <c r="H67" s="165" t="s">
        <v>181</v>
      </c>
      <c r="I67" s="166"/>
      <c r="J67" s="96">
        <f>J44*10^6/H3*O64*10^-3</f>
        <v>199.55</v>
      </c>
      <c r="K67" s="97"/>
      <c r="M67" s="17"/>
      <c r="N67" s="17"/>
      <c r="O67" s="17"/>
    </row>
    <row r="68" spans="2:23" s="13" customFormat="1" ht="19.5" customHeight="1" x14ac:dyDescent="0.4">
      <c r="B68" s="260"/>
      <c r="C68" s="260"/>
      <c r="D68" s="95"/>
      <c r="E68" s="95" t="s">
        <v>67</v>
      </c>
      <c r="F68" s="95"/>
      <c r="G68" s="268"/>
      <c r="H68" s="165" t="s">
        <v>69</v>
      </c>
      <c r="I68" s="166"/>
      <c r="J68" s="96">
        <f>J65+J66+J67</f>
        <v>24279.064906367039</v>
      </c>
      <c r="K68" s="97"/>
      <c r="M68" s="87"/>
      <c r="N68" s="49"/>
      <c r="O68" s="51"/>
      <c r="P68" s="15"/>
      <c r="Q68" s="47"/>
      <c r="R68" s="47"/>
      <c r="S68" s="47"/>
      <c r="T68" s="47"/>
      <c r="U68" s="47"/>
      <c r="V68" s="47"/>
      <c r="W68" s="47"/>
    </row>
    <row r="69" spans="2:23" ht="39" customHeight="1" x14ac:dyDescent="0.4">
      <c r="B69" s="264" t="s">
        <v>20</v>
      </c>
      <c r="C69" s="265"/>
      <c r="D69" s="265"/>
      <c r="E69" s="265"/>
      <c r="F69" s="42"/>
      <c r="G69" s="146" t="s">
        <v>31</v>
      </c>
      <c r="H69" s="266" t="s">
        <v>32</v>
      </c>
      <c r="I69" s="267"/>
      <c r="J69" s="147">
        <f>(1-J68/J64)</f>
        <v>0.4602494959588902</v>
      </c>
      <c r="K69" s="148"/>
      <c r="M69" s="17"/>
      <c r="N69" s="17"/>
      <c r="O69" s="17"/>
      <c r="T69" s="1"/>
    </row>
    <row r="70" spans="2:23" ht="19.5" customHeight="1" x14ac:dyDescent="0.4">
      <c r="M70" s="17"/>
      <c r="N70" s="17"/>
      <c r="O70" s="17"/>
    </row>
    <row r="71" spans="2:23" s="47" customFormat="1" ht="33" x14ac:dyDescent="0.4">
      <c r="B71" s="8" t="s">
        <v>21</v>
      </c>
      <c r="M71" s="87"/>
      <c r="N71" s="49"/>
      <c r="O71" s="51"/>
    </row>
    <row r="72" spans="2:23" s="47" customFormat="1" ht="19.5" customHeight="1" x14ac:dyDescent="0.4">
      <c r="B72" s="170" t="s">
        <v>11</v>
      </c>
      <c r="C72" s="170"/>
      <c r="D72" s="170"/>
      <c r="E72" s="170"/>
      <c r="F72" s="46"/>
      <c r="G72" s="46" t="s">
        <v>18</v>
      </c>
      <c r="H72" s="188" t="s">
        <v>27</v>
      </c>
      <c r="I72" s="185"/>
      <c r="J72" s="44" t="s">
        <v>179</v>
      </c>
      <c r="K72" s="46" t="s">
        <v>26</v>
      </c>
      <c r="M72" s="52"/>
      <c r="N72" s="170" t="s">
        <v>162</v>
      </c>
      <c r="O72" s="170"/>
    </row>
    <row r="73" spans="2:23" s="47" customFormat="1" ht="19.5" customHeight="1" x14ac:dyDescent="0.4">
      <c r="B73" s="241" t="s">
        <v>168</v>
      </c>
      <c r="C73" s="243" t="s">
        <v>169</v>
      </c>
      <c r="D73" s="90"/>
      <c r="E73" s="90" t="s">
        <v>154</v>
      </c>
      <c r="F73" s="91"/>
      <c r="G73" s="240" t="s">
        <v>178</v>
      </c>
      <c r="H73" s="167" t="s">
        <v>190</v>
      </c>
      <c r="I73" s="168"/>
      <c r="J73" s="92">
        <f>J23*10^6/H2*O73</f>
        <v>239.41831712991623</v>
      </c>
      <c r="K73" s="93"/>
      <c r="M73" s="52" t="s">
        <v>206</v>
      </c>
      <c r="N73" s="52" t="s">
        <v>163</v>
      </c>
      <c r="O73" s="52">
        <v>5.8699999999999996E-4</v>
      </c>
    </row>
    <row r="74" spans="2:23" s="47" customFormat="1" ht="19.5" customHeight="1" x14ac:dyDescent="0.4">
      <c r="B74" s="242"/>
      <c r="C74" s="242"/>
      <c r="D74" s="90"/>
      <c r="E74" s="91" t="s">
        <v>172</v>
      </c>
      <c r="F74" s="91"/>
      <c r="G74" s="176"/>
      <c r="H74" s="193" t="s">
        <v>191</v>
      </c>
      <c r="I74" s="194"/>
      <c r="J74" s="92">
        <f>J24*10^6/H4*O74/10^3</f>
        <v>2850.6757183098593</v>
      </c>
      <c r="K74" s="93"/>
      <c r="M74" s="52" t="s">
        <v>207</v>
      </c>
      <c r="N74" s="52" t="s">
        <v>164</v>
      </c>
      <c r="O74" s="52">
        <v>2.71</v>
      </c>
    </row>
    <row r="75" spans="2:23" s="47" customFormat="1" ht="19.5" customHeight="1" x14ac:dyDescent="0.4">
      <c r="B75" s="242"/>
      <c r="C75" s="242"/>
      <c r="D75" s="90"/>
      <c r="E75" s="91" t="s">
        <v>173</v>
      </c>
      <c r="F75" s="94"/>
      <c r="G75" s="176"/>
      <c r="H75" s="167" t="s">
        <v>192</v>
      </c>
      <c r="I75" s="168"/>
      <c r="J75" s="92">
        <f>J26*10^6/H3*O76</f>
        <v>12.671264367816091</v>
      </c>
      <c r="K75" s="93"/>
      <c r="M75" s="52" t="s">
        <v>208</v>
      </c>
      <c r="N75" s="52" t="s">
        <v>165</v>
      </c>
      <c r="O75" s="52">
        <v>3</v>
      </c>
    </row>
    <row r="76" spans="2:23" s="53" customFormat="1" ht="19.5" customHeight="1" x14ac:dyDescent="0.4">
      <c r="B76" s="242"/>
      <c r="C76" s="242"/>
      <c r="D76" s="90"/>
      <c r="E76" s="91" t="s">
        <v>197</v>
      </c>
      <c r="F76" s="94"/>
      <c r="G76" s="176"/>
      <c r="H76" s="167" t="s">
        <v>196</v>
      </c>
      <c r="I76" s="168"/>
      <c r="J76" s="92">
        <f>0.0095/1000*D2*O78</f>
        <v>23.440680000000004</v>
      </c>
      <c r="K76" s="93"/>
      <c r="M76" s="52" t="s">
        <v>209</v>
      </c>
      <c r="N76" s="52" t="s">
        <v>166</v>
      </c>
      <c r="O76" s="52">
        <v>2E-3</v>
      </c>
    </row>
    <row r="77" spans="2:23" s="47" customFormat="1" ht="19.5" customHeight="1" x14ac:dyDescent="0.4">
      <c r="B77" s="183"/>
      <c r="C77" s="183"/>
      <c r="D77" s="90"/>
      <c r="E77" s="90" t="s">
        <v>67</v>
      </c>
      <c r="F77" s="90"/>
      <c r="G77" s="176"/>
      <c r="H77" s="167" t="s">
        <v>69</v>
      </c>
      <c r="I77" s="168"/>
      <c r="J77" s="92">
        <f>J73+J74+J75+J76</f>
        <v>3126.205979807592</v>
      </c>
      <c r="K77" s="93"/>
      <c r="M77" s="52" t="s">
        <v>155</v>
      </c>
      <c r="N77" s="52" t="s">
        <v>167</v>
      </c>
      <c r="O77" s="52">
        <v>0.32</v>
      </c>
    </row>
    <row r="78" spans="2:23" s="47" customFormat="1" ht="19.5" customHeight="1" x14ac:dyDescent="0.4">
      <c r="B78" s="247" t="s">
        <v>176</v>
      </c>
      <c r="C78" s="247" t="s">
        <v>177</v>
      </c>
      <c r="D78" s="95"/>
      <c r="E78" s="95" t="s">
        <v>154</v>
      </c>
      <c r="F78" s="73"/>
      <c r="G78" s="261" t="s">
        <v>178</v>
      </c>
      <c r="H78" s="165" t="s">
        <v>193</v>
      </c>
      <c r="I78" s="166"/>
      <c r="J78" s="96">
        <f>J41*10^6/H2*O73</f>
        <v>1170.0866666666666</v>
      </c>
      <c r="K78" s="97"/>
      <c r="M78" s="6" t="s">
        <v>210</v>
      </c>
      <c r="N78" s="52" t="s">
        <v>167</v>
      </c>
      <c r="O78" s="52">
        <v>298</v>
      </c>
    </row>
    <row r="79" spans="2:23" s="47" customFormat="1" ht="19.5" customHeight="1" x14ac:dyDescent="0.4">
      <c r="B79" s="259"/>
      <c r="C79" s="259"/>
      <c r="D79" s="95"/>
      <c r="E79" s="98" t="s">
        <v>172</v>
      </c>
      <c r="F79" s="73"/>
      <c r="G79" s="262"/>
      <c r="H79" s="179" t="s">
        <v>194</v>
      </c>
      <c r="I79" s="180"/>
      <c r="J79" s="96">
        <f>J42*10^6/H5*O75/10^3</f>
        <v>310.11235955056173</v>
      </c>
      <c r="K79" s="97"/>
      <c r="M79" s="17"/>
      <c r="N79" s="17"/>
      <c r="O79" s="17"/>
    </row>
    <row r="80" spans="2:23" s="47" customFormat="1" ht="19.5" customHeight="1" x14ac:dyDescent="0.4">
      <c r="B80" s="259"/>
      <c r="C80" s="259"/>
      <c r="D80" s="95"/>
      <c r="E80" s="98" t="s">
        <v>173</v>
      </c>
      <c r="F80" s="95"/>
      <c r="G80" s="262"/>
      <c r="H80" s="165" t="s">
        <v>195</v>
      </c>
      <c r="I80" s="166"/>
      <c r="J80" s="96">
        <f>J44*10^6/H3*O76</f>
        <v>13</v>
      </c>
      <c r="K80" s="97"/>
      <c r="M80" s="17"/>
      <c r="N80" s="17"/>
      <c r="O80" s="17"/>
    </row>
    <row r="81" spans="2:22" s="53" customFormat="1" ht="19.5" customHeight="1" x14ac:dyDescent="0.4">
      <c r="B81" s="259"/>
      <c r="C81" s="259"/>
      <c r="D81" s="95"/>
      <c r="E81" s="98" t="s">
        <v>198</v>
      </c>
      <c r="F81" s="95"/>
      <c r="G81" s="262"/>
      <c r="H81" s="165" t="s">
        <v>196</v>
      </c>
      <c r="I81" s="166"/>
      <c r="J81" s="96">
        <f>0.0095/1000*D2*O78</f>
        <v>23.440680000000004</v>
      </c>
      <c r="K81" s="97"/>
      <c r="M81" s="17"/>
      <c r="N81" s="17"/>
      <c r="O81" s="17"/>
    </row>
    <row r="82" spans="2:22" s="47" customFormat="1" ht="19.5" customHeight="1" x14ac:dyDescent="0.4">
      <c r="B82" s="260"/>
      <c r="C82" s="260"/>
      <c r="D82" s="95"/>
      <c r="E82" s="95" t="s">
        <v>67</v>
      </c>
      <c r="F82" s="95"/>
      <c r="G82" s="263"/>
      <c r="H82" s="165" t="s">
        <v>69</v>
      </c>
      <c r="I82" s="166"/>
      <c r="J82" s="96">
        <f>J78+J79+J80+J81</f>
        <v>1516.6397062172282</v>
      </c>
      <c r="K82" s="97"/>
      <c r="M82" s="87"/>
      <c r="N82" s="49"/>
      <c r="O82" s="51"/>
    </row>
    <row r="83" spans="2:22" s="47" customFormat="1" ht="39" customHeight="1" x14ac:dyDescent="0.4">
      <c r="B83" s="264" t="s">
        <v>21</v>
      </c>
      <c r="C83" s="265"/>
      <c r="D83" s="265"/>
      <c r="E83" s="265"/>
      <c r="F83" s="48"/>
      <c r="G83" s="146" t="s">
        <v>31</v>
      </c>
      <c r="H83" s="266" t="s">
        <v>25</v>
      </c>
      <c r="I83" s="267"/>
      <c r="J83" s="147">
        <f>(1-J82/J77)</f>
        <v>0.51486251513389636</v>
      </c>
      <c r="K83" s="148"/>
      <c r="M83" s="17"/>
      <c r="N83" s="17"/>
      <c r="O83" s="17"/>
      <c r="T83" s="1"/>
    </row>
    <row r="84" spans="2:22" s="49" customFormat="1" ht="19.5" customHeight="1" x14ac:dyDescent="0.4">
      <c r="B84" s="100"/>
      <c r="C84" s="100"/>
      <c r="D84" s="100"/>
      <c r="E84" s="86"/>
      <c r="F84" s="86"/>
      <c r="G84" s="24"/>
      <c r="H84" s="102"/>
      <c r="I84" s="102"/>
      <c r="J84" s="103"/>
      <c r="K84" s="86"/>
      <c r="O84" s="51"/>
    </row>
    <row r="85" spans="2:22" s="49" customFormat="1" ht="19.5" customHeight="1" x14ac:dyDescent="0.4">
      <c r="B85" s="100"/>
      <c r="C85" s="100"/>
      <c r="D85" s="100"/>
      <c r="E85" s="100"/>
      <c r="F85" s="100"/>
      <c r="J85" s="104"/>
      <c r="K85" s="86"/>
      <c r="O85" s="51"/>
    </row>
    <row r="86" spans="2:22" s="49" customFormat="1" ht="19.5" customHeight="1" x14ac:dyDescent="0.4">
      <c r="B86" s="100"/>
      <c r="C86" s="100"/>
      <c r="D86" s="100"/>
      <c r="E86" s="100"/>
      <c r="F86" s="100"/>
      <c r="J86" s="104"/>
      <c r="K86" s="86"/>
      <c r="O86" s="51"/>
    </row>
    <row r="87" spans="2:22" s="49" customFormat="1" ht="19.5" customHeight="1" x14ac:dyDescent="0.4">
      <c r="B87" s="100"/>
      <c r="C87" s="100"/>
      <c r="D87" s="100"/>
      <c r="E87" s="100"/>
      <c r="F87" s="100"/>
      <c r="J87" s="103"/>
      <c r="K87" s="105"/>
      <c r="O87" s="51"/>
      <c r="U87" s="101"/>
      <c r="V87" s="106"/>
    </row>
    <row r="88" spans="2:22" s="49" customFormat="1" ht="19.5" customHeight="1" x14ac:dyDescent="0.4">
      <c r="B88" s="100"/>
      <c r="C88" s="100"/>
      <c r="D88" s="100"/>
      <c r="E88" s="100"/>
      <c r="F88" s="100"/>
      <c r="J88" s="103"/>
      <c r="K88" s="105"/>
      <c r="O88" s="51"/>
      <c r="S88" s="100"/>
    </row>
    <row r="89" spans="2:22" s="49" customFormat="1" ht="19.5" customHeight="1" x14ac:dyDescent="0.4">
      <c r="B89" s="100"/>
      <c r="C89" s="100"/>
      <c r="D89" s="100"/>
      <c r="J89" s="103"/>
      <c r="K89" s="105"/>
      <c r="O89" s="51"/>
      <c r="U89" s="107"/>
      <c r="V89" s="100"/>
    </row>
    <row r="90" spans="2:22" s="49" customFormat="1" ht="39" customHeight="1" x14ac:dyDescent="0.4">
      <c r="B90" s="108"/>
      <c r="C90" s="109"/>
      <c r="D90" s="109"/>
      <c r="E90" s="109"/>
      <c r="F90" s="109"/>
      <c r="J90" s="110"/>
      <c r="K90" s="111"/>
      <c r="O90" s="51"/>
      <c r="U90" s="112"/>
      <c r="V90" s="100"/>
    </row>
  </sheetData>
  <mergeCells count="151">
    <mergeCell ref="B78:B82"/>
    <mergeCell ref="C78:C82"/>
    <mergeCell ref="G78:G82"/>
    <mergeCell ref="B83:E83"/>
    <mergeCell ref="H83:I83"/>
    <mergeCell ref="B65:B68"/>
    <mergeCell ref="C65:C68"/>
    <mergeCell ref="G65:G68"/>
    <mergeCell ref="B73:B77"/>
    <mergeCell ref="C73:C77"/>
    <mergeCell ref="G73:G77"/>
    <mergeCell ref="H74:I74"/>
    <mergeCell ref="H75:I75"/>
    <mergeCell ref="H77:I77"/>
    <mergeCell ref="H66:I66"/>
    <mergeCell ref="H69:I69"/>
    <mergeCell ref="H72:I72"/>
    <mergeCell ref="H73:I73"/>
    <mergeCell ref="H68:I68"/>
    <mergeCell ref="B69:E69"/>
    <mergeCell ref="H78:I78"/>
    <mergeCell ref="H81:I81"/>
    <mergeCell ref="H80:I80"/>
    <mergeCell ref="M44:N44"/>
    <mergeCell ref="R2:S2"/>
    <mergeCell ref="T2:U2"/>
    <mergeCell ref="G61:G64"/>
    <mergeCell ref="B61:B64"/>
    <mergeCell ref="C61:C64"/>
    <mergeCell ref="D48:F48"/>
    <mergeCell ref="H48:I48"/>
    <mergeCell ref="C32:C48"/>
    <mergeCell ref="B32:B48"/>
    <mergeCell ref="H50:I50"/>
    <mergeCell ref="B49:K49"/>
    <mergeCell ref="D50:F50"/>
    <mergeCell ref="D51:F51"/>
    <mergeCell ref="B50:C50"/>
    <mergeCell ref="B51:C51"/>
    <mergeCell ref="E40:F40"/>
    <mergeCell ref="E41:E46"/>
    <mergeCell ref="G40:G46"/>
    <mergeCell ref="H40:I40"/>
    <mergeCell ref="H41:I41"/>
    <mergeCell ref="H42:I42"/>
    <mergeCell ref="H43:I43"/>
    <mergeCell ref="H44:I44"/>
    <mergeCell ref="H45:I45"/>
    <mergeCell ref="D40:D47"/>
    <mergeCell ref="E47:F47"/>
    <mergeCell ref="H47:I47"/>
    <mergeCell ref="B31:C31"/>
    <mergeCell ref="E31:F31"/>
    <mergeCell ref="H31:I31"/>
    <mergeCell ref="D32:D39"/>
    <mergeCell ref="E32:F32"/>
    <mergeCell ref="E33:F33"/>
    <mergeCell ref="E34:F34"/>
    <mergeCell ref="E35:F35"/>
    <mergeCell ref="E36:F36"/>
    <mergeCell ref="E37:F37"/>
    <mergeCell ref="H37:I37"/>
    <mergeCell ref="E38:F38"/>
    <mergeCell ref="E39:F39"/>
    <mergeCell ref="H38:I38"/>
    <mergeCell ref="H39:I39"/>
    <mergeCell ref="B3:C3"/>
    <mergeCell ref="B4:C4"/>
    <mergeCell ref="B57:E57"/>
    <mergeCell ref="B54:E54"/>
    <mergeCell ref="B55:C55"/>
    <mergeCell ref="E22:F22"/>
    <mergeCell ref="E21:F21"/>
    <mergeCell ref="D29:F30"/>
    <mergeCell ref="D22:D28"/>
    <mergeCell ref="B9:E9"/>
    <mergeCell ref="B8:E8"/>
    <mergeCell ref="B7:E7"/>
    <mergeCell ref="B10:E10"/>
    <mergeCell ref="B2:C2"/>
    <mergeCell ref="H13:I13"/>
    <mergeCell ref="H15:I15"/>
    <mergeCell ref="H16:I16"/>
    <mergeCell ref="H18:I18"/>
    <mergeCell ref="H46:I46"/>
    <mergeCell ref="H32:I32"/>
    <mergeCell ref="H33:I33"/>
    <mergeCell ref="H34:I34"/>
    <mergeCell ref="H35:I35"/>
    <mergeCell ref="H36:I36"/>
    <mergeCell ref="H21:I21"/>
    <mergeCell ref="H29:I30"/>
    <mergeCell ref="H20:I20"/>
    <mergeCell ref="H19:I19"/>
    <mergeCell ref="B14:B30"/>
    <mergeCell ref="D14:D21"/>
    <mergeCell ref="D13:F13"/>
    <mergeCell ref="E19:F19"/>
    <mergeCell ref="E18:F18"/>
    <mergeCell ref="E17:F17"/>
    <mergeCell ref="E16:F16"/>
    <mergeCell ref="E15:F15"/>
    <mergeCell ref="E14:F14"/>
    <mergeCell ref="M22:N22"/>
    <mergeCell ref="B72:E72"/>
    <mergeCell ref="H79:I79"/>
    <mergeCell ref="H82:I82"/>
    <mergeCell ref="B56:C56"/>
    <mergeCell ref="B60:E60"/>
    <mergeCell ref="G29:G30"/>
    <mergeCell ref="M29:M30"/>
    <mergeCell ref="N29:N30"/>
    <mergeCell ref="K29:K30"/>
    <mergeCell ref="M39:N39"/>
    <mergeCell ref="H56:I56"/>
    <mergeCell ref="H57:I57"/>
    <mergeCell ref="H60:I60"/>
    <mergeCell ref="H61:I61"/>
    <mergeCell ref="H64:I64"/>
    <mergeCell ref="H51:I51"/>
    <mergeCell ref="H54:I54"/>
    <mergeCell ref="H55:I55"/>
    <mergeCell ref="H62:I62"/>
    <mergeCell ref="H63:I63"/>
    <mergeCell ref="C14:C30"/>
    <mergeCell ref="N60:O60"/>
    <mergeCell ref="N72:O72"/>
    <mergeCell ref="J29:J30"/>
    <mergeCell ref="H28:I28"/>
    <mergeCell ref="H65:I65"/>
    <mergeCell ref="H67:I67"/>
    <mergeCell ref="H76:I76"/>
    <mergeCell ref="F2:G2"/>
    <mergeCell ref="F3:G3"/>
    <mergeCell ref="F4:G4"/>
    <mergeCell ref="F5:G5"/>
    <mergeCell ref="F6:G6"/>
    <mergeCell ref="F9:G9"/>
    <mergeCell ref="F7:G7"/>
    <mergeCell ref="F8:G8"/>
    <mergeCell ref="E20:F20"/>
    <mergeCell ref="H22:I22"/>
    <mergeCell ref="H23:I23"/>
    <mergeCell ref="H24:I24"/>
    <mergeCell ref="H25:I25"/>
    <mergeCell ref="H26:I26"/>
    <mergeCell ref="H27:I27"/>
    <mergeCell ref="E23:E28"/>
    <mergeCell ref="G22:G28"/>
    <mergeCell ref="H14:I14"/>
    <mergeCell ref="H17:I17"/>
  </mergeCells>
  <phoneticPr fontId="1"/>
  <conditionalFormatting sqref="K3">
    <cfRule type="cellIs" dxfId="1" priority="2" operator="greaterThan">
      <formula>365</formula>
    </cfRule>
    <cfRule type="cellIs" dxfId="0" priority="1" operator="greaterThan">
      <formula>365</formula>
    </cfRule>
  </conditionalFormatting>
  <pageMargins left="0.70866141732283472" right="0.70866141732283472" top="0.74803149606299213" bottom="0.74803149606299213" header="0.31496062992125984" footer="0.31496062992125984"/>
  <pageSetup paperSize="9" scale="23" orientation="portrait" r:id="rId1"/>
  <ignoredErrors>
    <ignoredError sqref="J18 J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0"/>
  <sheetViews>
    <sheetView showGridLines="0" view="pageBreakPreview" zoomScale="70" zoomScaleNormal="85" zoomScaleSheetLayoutView="70" workbookViewId="0">
      <selection activeCell="E3" sqref="E3"/>
    </sheetView>
  </sheetViews>
  <sheetFormatPr defaultRowHeight="18.75" x14ac:dyDescent="0.4"/>
  <cols>
    <col min="1" max="1" width="1.625" style="127" customWidth="1"/>
    <col min="2" max="2" width="11" style="127" customWidth="1"/>
    <col min="3" max="3" width="19.25" style="127" bestFit="1" customWidth="1"/>
    <col min="4" max="4" width="19.25" style="127" customWidth="1"/>
    <col min="5" max="5" width="38.375" style="127" customWidth="1"/>
    <col min="6" max="7" width="18.125" style="127" customWidth="1"/>
    <col min="8" max="8" width="27.625" style="127" customWidth="1"/>
    <col min="9" max="9" width="24.625" style="127" customWidth="1"/>
    <col min="10" max="10" width="41.75" style="127" customWidth="1"/>
    <col min="11" max="11" width="37.75" style="127" bestFit="1" customWidth="1"/>
    <col min="12" max="12" width="4.25" style="127" customWidth="1"/>
    <col min="13" max="13" width="18" style="127" customWidth="1"/>
    <col min="14" max="15" width="18.125" style="127" customWidth="1"/>
    <col min="16" max="19" width="21.625" style="127" customWidth="1"/>
    <col min="20" max="21" width="10.625" style="127" customWidth="1"/>
    <col min="22" max="24" width="9" style="127" customWidth="1"/>
    <col min="25" max="16384" width="9" style="127"/>
  </cols>
  <sheetData>
    <row r="1" spans="2:26" ht="33" x14ac:dyDescent="0.4">
      <c r="B1" s="8" t="s">
        <v>33</v>
      </c>
      <c r="E1" s="21"/>
      <c r="F1" s="21"/>
    </row>
    <row r="2" spans="2:26" ht="20.25" x14ac:dyDescent="0.4">
      <c r="B2" s="197" t="s">
        <v>225</v>
      </c>
      <c r="C2" s="170"/>
      <c r="D2" s="30">
        <v>16296</v>
      </c>
      <c r="E2" s="153" t="s">
        <v>252</v>
      </c>
      <c r="F2" s="169" t="s">
        <v>183</v>
      </c>
      <c r="G2" s="170"/>
      <c r="H2" s="32">
        <v>15</v>
      </c>
      <c r="I2" s="158" t="s">
        <v>228</v>
      </c>
      <c r="J2" s="149" t="s">
        <v>240</v>
      </c>
      <c r="K2" s="154">
        <v>24</v>
      </c>
      <c r="N2" s="133"/>
      <c r="O2" s="133"/>
      <c r="P2" s="133"/>
      <c r="Q2" s="133"/>
      <c r="R2" s="239"/>
      <c r="S2" s="239"/>
      <c r="T2" s="239"/>
      <c r="U2" s="239"/>
      <c r="V2" s="133"/>
      <c r="W2" s="133"/>
      <c r="X2" s="133"/>
      <c r="Y2" s="133"/>
      <c r="Z2" s="133"/>
    </row>
    <row r="3" spans="2:26" ht="20.25" x14ac:dyDescent="0.4">
      <c r="B3" s="170" t="s">
        <v>244</v>
      </c>
      <c r="C3" s="170"/>
      <c r="D3" s="31">
        <v>79</v>
      </c>
      <c r="E3" s="1" t="s">
        <v>239</v>
      </c>
      <c r="F3" s="169" t="s">
        <v>184</v>
      </c>
      <c r="G3" s="170" t="s">
        <v>40</v>
      </c>
      <c r="H3" s="32">
        <v>200</v>
      </c>
      <c r="I3" s="158" t="s">
        <v>229</v>
      </c>
      <c r="J3" s="149" t="s">
        <v>238</v>
      </c>
      <c r="K3" s="156">
        <f>ROUNDUP(K8/(1669.16/10^3)/24,0)</f>
        <v>301</v>
      </c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4" spans="2:26" ht="20.25" x14ac:dyDescent="0.4">
      <c r="B4" s="170" t="s">
        <v>243</v>
      </c>
      <c r="C4" s="170"/>
      <c r="D4" s="31">
        <v>20</v>
      </c>
      <c r="E4" s="1" t="s">
        <v>227</v>
      </c>
      <c r="F4" s="169" t="s">
        <v>185</v>
      </c>
      <c r="G4" s="170" t="s">
        <v>41</v>
      </c>
      <c r="H4" s="32">
        <v>71</v>
      </c>
      <c r="I4" s="23" t="s">
        <v>230</v>
      </c>
      <c r="J4" s="149" t="s">
        <v>224</v>
      </c>
      <c r="K4" s="157">
        <f>D2/K3/0.8</f>
        <v>67.674418604651152</v>
      </c>
      <c r="M4" s="133"/>
      <c r="N4" s="133"/>
      <c r="O4" s="133"/>
      <c r="P4" s="133"/>
      <c r="Q4" s="133"/>
      <c r="R4" s="133"/>
      <c r="S4" s="133"/>
      <c r="T4" s="133"/>
      <c r="U4" s="133"/>
      <c r="V4" s="131"/>
      <c r="W4" s="131"/>
      <c r="X4" s="85"/>
      <c r="Y4" s="133"/>
      <c r="Z4" s="133"/>
    </row>
    <row r="5" spans="2:26" ht="20.25" x14ac:dyDescent="0.4">
      <c r="B5" s="269"/>
      <c r="C5" s="270"/>
      <c r="D5" s="16"/>
      <c r="F5" s="169" t="s">
        <v>186</v>
      </c>
      <c r="G5" s="170" t="s">
        <v>42</v>
      </c>
      <c r="H5" s="32">
        <v>89</v>
      </c>
      <c r="I5" s="86" t="s">
        <v>231</v>
      </c>
      <c r="J5" s="22" t="s">
        <v>113</v>
      </c>
      <c r="K5" s="89">
        <f>D2*(100-D3)/(100-20)</f>
        <v>4277.7</v>
      </c>
      <c r="M5" s="152" t="s">
        <v>237</v>
      </c>
      <c r="N5" s="133"/>
      <c r="O5" s="133"/>
      <c r="P5" s="133"/>
      <c r="Q5" s="133"/>
      <c r="R5" s="133"/>
      <c r="S5" s="133"/>
      <c r="T5" s="133"/>
      <c r="U5" s="133"/>
      <c r="V5" s="54"/>
      <c r="W5" s="54"/>
      <c r="X5" s="133"/>
      <c r="Y5" s="133"/>
      <c r="Z5" s="133"/>
    </row>
    <row r="6" spans="2:26" ht="20.25" x14ac:dyDescent="0.4">
      <c r="B6" s="151"/>
      <c r="C6" s="151"/>
      <c r="F6" s="169" t="s">
        <v>187</v>
      </c>
      <c r="G6" s="170" t="s">
        <v>62</v>
      </c>
      <c r="H6" s="32">
        <v>40</v>
      </c>
      <c r="I6" s="86" t="s">
        <v>232</v>
      </c>
      <c r="J6" s="36" t="s">
        <v>114</v>
      </c>
      <c r="K6" s="89">
        <f>D2-K5</f>
        <v>12018.3</v>
      </c>
      <c r="M6" s="86"/>
      <c r="N6" s="133"/>
      <c r="O6" s="133"/>
      <c r="P6" s="133"/>
      <c r="Q6" s="133"/>
      <c r="R6" s="133"/>
      <c r="S6" s="133"/>
      <c r="T6" s="133"/>
      <c r="U6" s="133"/>
      <c r="V6" s="54"/>
      <c r="W6" s="54"/>
      <c r="X6" s="133"/>
      <c r="Y6" s="133"/>
      <c r="Z6" s="133"/>
    </row>
    <row r="7" spans="2:26" ht="20.25" x14ac:dyDescent="0.4">
      <c r="B7" s="222" t="s">
        <v>248</v>
      </c>
      <c r="C7" s="222"/>
      <c r="D7" s="222"/>
      <c r="E7" s="223"/>
      <c r="F7" s="169" t="s">
        <v>76</v>
      </c>
      <c r="G7" s="170"/>
      <c r="H7" s="32">
        <v>23000</v>
      </c>
      <c r="I7" s="159" t="s">
        <v>233</v>
      </c>
      <c r="J7" s="22" t="s">
        <v>115</v>
      </c>
      <c r="K7" s="89">
        <f>D2*(100-D3)/(100-D4)</f>
        <v>4277.7</v>
      </c>
      <c r="M7" s="86"/>
      <c r="N7" s="133"/>
      <c r="O7" s="133"/>
      <c r="P7" s="133"/>
      <c r="Q7" s="133"/>
      <c r="R7" s="133"/>
      <c r="S7" s="133"/>
      <c r="T7" s="133"/>
      <c r="U7" s="133"/>
      <c r="V7" s="54"/>
      <c r="W7" s="54"/>
      <c r="X7" s="133"/>
      <c r="Y7" s="133"/>
      <c r="Z7" s="133"/>
    </row>
    <row r="8" spans="2:26" ht="20.25" x14ac:dyDescent="0.4">
      <c r="B8" s="222" t="s">
        <v>245</v>
      </c>
      <c r="C8" s="222"/>
      <c r="D8" s="222"/>
      <c r="E8" s="223"/>
      <c r="F8" s="169" t="s">
        <v>140</v>
      </c>
      <c r="G8" s="170"/>
      <c r="H8" s="32">
        <v>19000</v>
      </c>
      <c r="I8" s="25" t="s">
        <v>234</v>
      </c>
      <c r="J8" s="36" t="s">
        <v>116</v>
      </c>
      <c r="K8" s="89">
        <f>D2-K7</f>
        <v>12018.3</v>
      </c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</row>
    <row r="9" spans="2:26" ht="20.25" x14ac:dyDescent="0.4">
      <c r="B9" s="222" t="s">
        <v>246</v>
      </c>
      <c r="C9" s="222"/>
      <c r="D9" s="222"/>
      <c r="E9" s="223"/>
      <c r="F9" s="169" t="s">
        <v>85</v>
      </c>
      <c r="G9" s="170" t="s">
        <v>43</v>
      </c>
      <c r="H9" s="32">
        <v>1.1399999999999999</v>
      </c>
      <c r="I9" s="25" t="s">
        <v>235</v>
      </c>
      <c r="J9" s="22" t="s">
        <v>117</v>
      </c>
      <c r="K9" s="89">
        <f>D2*(100-D3)/100</f>
        <v>3422.16</v>
      </c>
    </row>
    <row r="10" spans="2:26" x14ac:dyDescent="0.4">
      <c r="B10" s="222" t="s">
        <v>249</v>
      </c>
      <c r="C10" s="222"/>
      <c r="D10" s="222"/>
      <c r="E10" s="222"/>
      <c r="I10" s="35"/>
      <c r="J10" s="23"/>
      <c r="K10" s="25"/>
    </row>
    <row r="12" spans="2:26" ht="33" x14ac:dyDescent="0.4">
      <c r="B12" s="8"/>
      <c r="S12" s="26"/>
      <c r="T12" s="133"/>
      <c r="U12" s="133"/>
      <c r="V12" s="133"/>
    </row>
    <row r="13" spans="2:26" x14ac:dyDescent="0.4">
      <c r="B13" s="119" t="s">
        <v>10</v>
      </c>
      <c r="C13" s="119" t="s">
        <v>12</v>
      </c>
      <c r="D13" s="188" t="s">
        <v>11</v>
      </c>
      <c r="E13" s="208"/>
      <c r="F13" s="185"/>
      <c r="G13" s="119" t="s">
        <v>18</v>
      </c>
      <c r="H13" s="188" t="s">
        <v>24</v>
      </c>
      <c r="I13" s="185"/>
      <c r="J13" s="119" t="s">
        <v>8</v>
      </c>
      <c r="K13" s="119" t="s">
        <v>9</v>
      </c>
      <c r="S13" s="133"/>
      <c r="T13" s="133"/>
      <c r="U13" s="133"/>
      <c r="V13" s="133"/>
    </row>
    <row r="14" spans="2:26" ht="20.25" x14ac:dyDescent="0.4">
      <c r="B14" s="182" t="s">
        <v>1</v>
      </c>
      <c r="C14" s="182" t="s">
        <v>52</v>
      </c>
      <c r="D14" s="175" t="s">
        <v>0</v>
      </c>
      <c r="E14" s="213" t="s">
        <v>84</v>
      </c>
      <c r="F14" s="213"/>
      <c r="G14" s="55" t="s">
        <v>22</v>
      </c>
      <c r="H14" s="171" t="s">
        <v>45</v>
      </c>
      <c r="I14" s="164"/>
      <c r="J14" s="76">
        <f>12.3*K4^0.941*H9</f>
        <v>740.01316962685758</v>
      </c>
      <c r="K14" s="56" t="s">
        <v>28</v>
      </c>
      <c r="S14" s="133"/>
      <c r="T14" s="133"/>
      <c r="U14" s="133"/>
      <c r="V14" s="133"/>
    </row>
    <row r="15" spans="2:26" ht="19.5" customHeight="1" x14ac:dyDescent="0.4">
      <c r="B15" s="195"/>
      <c r="C15" s="195"/>
      <c r="D15" s="176"/>
      <c r="E15" s="211" t="s">
        <v>46</v>
      </c>
      <c r="F15" s="212"/>
      <c r="G15" s="55" t="s">
        <v>23</v>
      </c>
      <c r="H15" s="171" t="s">
        <v>47</v>
      </c>
      <c r="I15" s="164"/>
      <c r="J15" s="76">
        <f>J14*N45</f>
        <v>26.569946474917675</v>
      </c>
      <c r="K15" s="56" t="s">
        <v>153</v>
      </c>
      <c r="S15" s="133"/>
      <c r="T15" s="133"/>
      <c r="U15" s="27"/>
      <c r="V15" s="133"/>
    </row>
    <row r="16" spans="2:26" ht="19.5" customHeight="1" x14ac:dyDescent="0.4">
      <c r="B16" s="195"/>
      <c r="C16" s="195"/>
      <c r="D16" s="176"/>
      <c r="E16" s="182" t="s">
        <v>2</v>
      </c>
      <c r="F16" s="182"/>
      <c r="G16" s="55" t="s">
        <v>22</v>
      </c>
      <c r="H16" s="171" t="s">
        <v>211</v>
      </c>
      <c r="I16" s="164"/>
      <c r="J16" s="76">
        <f>31.9*K4^0.971*H9</f>
        <v>2177.8991044976406</v>
      </c>
      <c r="K16" s="56" t="s">
        <v>212</v>
      </c>
      <c r="S16" s="128"/>
      <c r="T16" s="128"/>
      <c r="U16" s="27"/>
      <c r="V16" s="133"/>
    </row>
    <row r="17" spans="2:22" ht="19.5" customHeight="1" x14ac:dyDescent="0.4">
      <c r="B17" s="195"/>
      <c r="C17" s="195"/>
      <c r="D17" s="176"/>
      <c r="E17" s="209" t="s">
        <v>48</v>
      </c>
      <c r="F17" s="210"/>
      <c r="G17" s="55" t="s">
        <v>23</v>
      </c>
      <c r="H17" s="171" t="s">
        <v>49</v>
      </c>
      <c r="I17" s="164"/>
      <c r="J17" s="76">
        <f>J16*N46</f>
        <v>137.08026042582378</v>
      </c>
      <c r="K17" s="56" t="s">
        <v>29</v>
      </c>
      <c r="S17" s="128"/>
      <c r="T17" s="128"/>
      <c r="U17" s="27"/>
      <c r="V17" s="133"/>
    </row>
    <row r="18" spans="2:22" ht="19.5" customHeight="1" x14ac:dyDescent="0.4">
      <c r="B18" s="195"/>
      <c r="C18" s="195"/>
      <c r="D18" s="176"/>
      <c r="E18" s="182" t="s">
        <v>3</v>
      </c>
      <c r="F18" s="182"/>
      <c r="G18" s="55" t="s">
        <v>22</v>
      </c>
      <c r="H18" s="171" t="s">
        <v>213</v>
      </c>
      <c r="I18" s="164"/>
      <c r="J18" s="76">
        <f>6.593*K4^0.809*H9</f>
        <v>227.40571486097323</v>
      </c>
      <c r="K18" s="56" t="s">
        <v>95</v>
      </c>
      <c r="S18" s="128"/>
      <c r="T18" s="128"/>
      <c r="U18" s="27"/>
      <c r="V18" s="133"/>
    </row>
    <row r="19" spans="2:22" ht="19.5" customHeight="1" x14ac:dyDescent="0.4">
      <c r="B19" s="195"/>
      <c r="C19" s="195"/>
      <c r="D19" s="176"/>
      <c r="E19" s="209" t="s">
        <v>48</v>
      </c>
      <c r="F19" s="210"/>
      <c r="G19" s="55" t="s">
        <v>23</v>
      </c>
      <c r="H19" s="171" t="s">
        <v>50</v>
      </c>
      <c r="I19" s="164"/>
      <c r="J19" s="76">
        <f>J18*N47</f>
        <v>14.313259301630154</v>
      </c>
      <c r="K19" s="56" t="s">
        <v>34</v>
      </c>
      <c r="S19" s="128"/>
      <c r="T19" s="128"/>
      <c r="U19" s="27"/>
      <c r="V19" s="133"/>
    </row>
    <row r="20" spans="2:22" ht="19.5" customHeight="1" x14ac:dyDescent="0.4">
      <c r="B20" s="195"/>
      <c r="C20" s="195"/>
      <c r="D20" s="195"/>
      <c r="E20" s="171" t="s">
        <v>7</v>
      </c>
      <c r="F20" s="164"/>
      <c r="G20" s="55" t="s">
        <v>22</v>
      </c>
      <c r="H20" s="171" t="s">
        <v>53</v>
      </c>
      <c r="I20" s="164"/>
      <c r="J20" s="76">
        <f>J14+J16+J18</f>
        <v>3145.3179889854714</v>
      </c>
      <c r="K20" s="56" t="s">
        <v>104</v>
      </c>
      <c r="S20" s="128"/>
      <c r="T20" s="128"/>
      <c r="U20" s="27"/>
      <c r="V20" s="133"/>
    </row>
    <row r="21" spans="2:22" ht="19.5" customHeight="1" x14ac:dyDescent="0.4">
      <c r="B21" s="195"/>
      <c r="C21" s="195"/>
      <c r="D21" s="196"/>
      <c r="E21" s="171" t="s">
        <v>5</v>
      </c>
      <c r="F21" s="164"/>
      <c r="G21" s="129" t="s">
        <v>23</v>
      </c>
      <c r="H21" s="202" t="s">
        <v>53</v>
      </c>
      <c r="I21" s="203"/>
      <c r="J21" s="77">
        <f>J15+J17+J19</f>
        <v>177.96346620237162</v>
      </c>
      <c r="K21" s="130" t="s">
        <v>105</v>
      </c>
      <c r="M21" s="128"/>
      <c r="N21" s="128"/>
      <c r="O21" s="128"/>
      <c r="S21" s="128"/>
      <c r="T21" s="128"/>
      <c r="U21" s="5"/>
      <c r="V21" s="133"/>
    </row>
    <row r="22" spans="2:22" ht="19.5" customHeight="1" x14ac:dyDescent="0.4">
      <c r="B22" s="195"/>
      <c r="C22" s="195"/>
      <c r="D22" s="175" t="s">
        <v>4</v>
      </c>
      <c r="E22" s="216" t="s">
        <v>56</v>
      </c>
      <c r="F22" s="217"/>
      <c r="G22" s="175" t="s">
        <v>23</v>
      </c>
      <c r="H22" s="163" t="s">
        <v>118</v>
      </c>
      <c r="I22" s="164"/>
      <c r="J22" s="76">
        <f>H8*K5*10^(-6)</f>
        <v>81.276299999999992</v>
      </c>
      <c r="K22" s="59" t="s">
        <v>87</v>
      </c>
      <c r="M22" s="178"/>
      <c r="N22" s="178"/>
      <c r="O22" s="128"/>
      <c r="S22" s="128"/>
      <c r="T22" s="128"/>
      <c r="U22" s="5"/>
      <c r="V22" s="133"/>
    </row>
    <row r="23" spans="2:22" ht="19.5" customHeight="1" x14ac:dyDescent="0.4">
      <c r="B23" s="195"/>
      <c r="C23" s="195"/>
      <c r="D23" s="176"/>
      <c r="E23" s="172" t="s">
        <v>57</v>
      </c>
      <c r="F23" s="60" t="s">
        <v>61</v>
      </c>
      <c r="G23" s="176"/>
      <c r="H23" s="278" t="s">
        <v>214</v>
      </c>
      <c r="I23" s="269"/>
      <c r="J23" s="161">
        <f>0.362*D2^0.585*H9</f>
        <v>120.13811576345346</v>
      </c>
      <c r="K23" s="59" t="s">
        <v>77</v>
      </c>
      <c r="M23" s="128"/>
      <c r="N23" s="128"/>
      <c r="O23" s="128"/>
      <c r="V23" s="133"/>
    </row>
    <row r="24" spans="2:22" ht="19.5" customHeight="1" x14ac:dyDescent="0.4">
      <c r="B24" s="195"/>
      <c r="C24" s="195"/>
      <c r="D24" s="176"/>
      <c r="E24" s="173"/>
      <c r="F24" s="61" t="s">
        <v>60</v>
      </c>
      <c r="G24" s="176"/>
      <c r="H24" s="273"/>
      <c r="I24" s="274"/>
      <c r="J24" s="257"/>
      <c r="K24" s="59" t="s">
        <v>78</v>
      </c>
      <c r="M24" s="128"/>
      <c r="N24" s="128"/>
      <c r="O24" s="128"/>
      <c r="S24" s="128"/>
      <c r="T24" s="128"/>
      <c r="U24" s="5"/>
      <c r="V24" s="133"/>
    </row>
    <row r="25" spans="2:22" ht="19.5" customHeight="1" x14ac:dyDescent="0.4">
      <c r="B25" s="195"/>
      <c r="C25" s="195"/>
      <c r="D25" s="176"/>
      <c r="E25" s="173"/>
      <c r="F25" s="60" t="s">
        <v>59</v>
      </c>
      <c r="G25" s="176"/>
      <c r="H25" s="273"/>
      <c r="I25" s="274"/>
      <c r="J25" s="257"/>
      <c r="K25" s="59" t="s">
        <v>79</v>
      </c>
      <c r="M25" s="128"/>
      <c r="N25" s="128"/>
      <c r="O25" s="128"/>
      <c r="S25" s="128"/>
      <c r="T25" s="128"/>
      <c r="U25" s="5"/>
      <c r="V25" s="133"/>
    </row>
    <row r="26" spans="2:22" ht="19.5" customHeight="1" x14ac:dyDescent="0.4">
      <c r="B26" s="195"/>
      <c r="C26" s="195"/>
      <c r="D26" s="176"/>
      <c r="E26" s="173"/>
      <c r="F26" s="62" t="s">
        <v>170</v>
      </c>
      <c r="G26" s="176"/>
      <c r="H26" s="273"/>
      <c r="I26" s="274"/>
      <c r="J26" s="257"/>
      <c r="K26" s="59" t="s">
        <v>80</v>
      </c>
      <c r="M26" s="128"/>
      <c r="N26" s="128"/>
      <c r="O26" s="128"/>
      <c r="S26" s="128"/>
      <c r="T26" s="128"/>
      <c r="U26" s="5"/>
      <c r="V26" s="133"/>
    </row>
    <row r="27" spans="2:22" ht="19.5" customHeight="1" x14ac:dyDescent="0.4">
      <c r="B27" s="195"/>
      <c r="C27" s="195"/>
      <c r="D27" s="176"/>
      <c r="E27" s="173"/>
      <c r="F27" s="63" t="s">
        <v>58</v>
      </c>
      <c r="G27" s="176"/>
      <c r="H27" s="273"/>
      <c r="I27" s="274"/>
      <c r="J27" s="257"/>
      <c r="K27" s="59" t="s">
        <v>81</v>
      </c>
      <c r="M27" s="128"/>
      <c r="N27" s="128"/>
      <c r="O27" s="128"/>
      <c r="S27" s="128"/>
      <c r="T27" s="128"/>
      <c r="U27" s="133"/>
      <c r="V27" s="133"/>
    </row>
    <row r="28" spans="2:22" ht="19.5" customHeight="1" x14ac:dyDescent="0.4">
      <c r="B28" s="195"/>
      <c r="C28" s="195"/>
      <c r="D28" s="177"/>
      <c r="E28" s="174"/>
      <c r="F28" s="64" t="s">
        <v>68</v>
      </c>
      <c r="G28" s="177"/>
      <c r="H28" s="202" t="s">
        <v>53</v>
      </c>
      <c r="I28" s="203"/>
      <c r="J28" s="76">
        <f>J23</f>
        <v>120.13811576345346</v>
      </c>
      <c r="K28" s="116" t="s">
        <v>106</v>
      </c>
      <c r="M28" s="128"/>
      <c r="N28" s="128"/>
      <c r="O28" s="128"/>
      <c r="S28" s="128"/>
      <c r="T28" s="128"/>
      <c r="U28" s="133"/>
      <c r="V28" s="133"/>
    </row>
    <row r="29" spans="2:22" ht="9.75" customHeight="1" x14ac:dyDescent="0.4">
      <c r="B29" s="195"/>
      <c r="C29" s="195"/>
      <c r="D29" s="218" t="s">
        <v>36</v>
      </c>
      <c r="E29" s="219"/>
      <c r="F29" s="220"/>
      <c r="G29" s="175" t="s">
        <v>23</v>
      </c>
      <c r="H29" s="204" t="s">
        <v>25</v>
      </c>
      <c r="I29" s="205"/>
      <c r="J29" s="161">
        <f>J21+J22+J28</f>
        <v>379.37788196582505</v>
      </c>
      <c r="K29" s="182" t="s">
        <v>107</v>
      </c>
      <c r="M29" s="178"/>
      <c r="N29" s="178"/>
      <c r="O29" s="128"/>
      <c r="S29" s="128"/>
      <c r="T29" s="128"/>
      <c r="U29" s="133"/>
      <c r="V29" s="133"/>
    </row>
    <row r="30" spans="2:22" ht="9.75" customHeight="1" x14ac:dyDescent="0.4">
      <c r="B30" s="196"/>
      <c r="C30" s="196"/>
      <c r="D30" s="206"/>
      <c r="E30" s="221"/>
      <c r="F30" s="207"/>
      <c r="G30" s="177"/>
      <c r="H30" s="206"/>
      <c r="I30" s="207"/>
      <c r="J30" s="162"/>
      <c r="K30" s="183"/>
      <c r="M30" s="178"/>
      <c r="N30" s="178"/>
      <c r="O30" s="128"/>
      <c r="S30" s="9"/>
      <c r="T30" s="128"/>
      <c r="U30" s="133"/>
      <c r="V30" s="133"/>
    </row>
    <row r="31" spans="2:22" ht="19.5" customHeight="1" x14ac:dyDescent="0.4">
      <c r="B31" s="228" t="s">
        <v>71</v>
      </c>
      <c r="C31" s="228"/>
      <c r="D31" s="134" t="s">
        <v>4</v>
      </c>
      <c r="E31" s="229" t="s">
        <v>56</v>
      </c>
      <c r="F31" s="230"/>
      <c r="G31" s="135" t="s">
        <v>23</v>
      </c>
      <c r="H31" s="231" t="s">
        <v>74</v>
      </c>
      <c r="I31" s="232"/>
      <c r="J31" s="136">
        <f>H7*D2*10^(-6)</f>
        <v>374.80799999999999</v>
      </c>
      <c r="K31" s="137" t="s">
        <v>75</v>
      </c>
      <c r="M31" s="128"/>
      <c r="N31" s="128"/>
      <c r="O31" s="128"/>
      <c r="S31" s="9"/>
      <c r="T31" s="128"/>
      <c r="U31" s="133"/>
      <c r="V31" s="133"/>
    </row>
    <row r="32" spans="2:22" ht="19.5" customHeight="1" x14ac:dyDescent="0.4">
      <c r="B32" s="226" t="s">
        <v>6</v>
      </c>
      <c r="C32" s="247" t="s">
        <v>82</v>
      </c>
      <c r="D32" s="224" t="s">
        <v>0</v>
      </c>
      <c r="E32" s="233" t="s">
        <v>84</v>
      </c>
      <c r="F32" s="234"/>
      <c r="G32" s="125" t="s">
        <v>22</v>
      </c>
      <c r="H32" s="199" t="s">
        <v>215</v>
      </c>
      <c r="I32" s="200"/>
      <c r="J32" s="79">
        <f>651.2*H9</f>
        <v>742.36799999999994</v>
      </c>
      <c r="K32" s="68" t="s">
        <v>89</v>
      </c>
      <c r="M32" s="128"/>
      <c r="N32" s="128"/>
      <c r="O32" s="128"/>
      <c r="S32" s="128"/>
      <c r="T32" s="128"/>
      <c r="U32" s="133"/>
      <c r="V32" s="133"/>
    </row>
    <row r="33" spans="2:25" ht="19.5" customHeight="1" x14ac:dyDescent="0.4">
      <c r="B33" s="181"/>
      <c r="C33" s="248"/>
      <c r="D33" s="170"/>
      <c r="E33" s="235" t="s">
        <v>48</v>
      </c>
      <c r="F33" s="236"/>
      <c r="G33" s="125" t="s">
        <v>23</v>
      </c>
      <c r="H33" s="199" t="s">
        <v>88</v>
      </c>
      <c r="I33" s="200"/>
      <c r="J33" s="79">
        <f>J32*0.0359</f>
        <v>26.651011199999999</v>
      </c>
      <c r="K33" s="68" t="s">
        <v>90</v>
      </c>
      <c r="S33" s="128"/>
      <c r="T33" s="128"/>
      <c r="U33" s="27"/>
      <c r="V33" s="133"/>
    </row>
    <row r="34" spans="2:25" ht="19.5" customHeight="1" x14ac:dyDescent="0.4">
      <c r="B34" s="181"/>
      <c r="C34" s="248"/>
      <c r="D34" s="170"/>
      <c r="E34" s="233" t="s">
        <v>2</v>
      </c>
      <c r="F34" s="234"/>
      <c r="G34" s="125" t="s">
        <v>22</v>
      </c>
      <c r="H34" s="199" t="s">
        <v>216</v>
      </c>
      <c r="I34" s="200"/>
      <c r="J34" s="79">
        <f>881</f>
        <v>881</v>
      </c>
      <c r="K34" s="68" t="s">
        <v>93</v>
      </c>
      <c r="S34" s="128"/>
      <c r="T34" s="128"/>
      <c r="U34" s="27"/>
      <c r="V34" s="133"/>
    </row>
    <row r="35" spans="2:25" ht="19.5" customHeight="1" x14ac:dyDescent="0.4">
      <c r="B35" s="181"/>
      <c r="C35" s="248"/>
      <c r="D35" s="170"/>
      <c r="E35" s="235" t="s">
        <v>48</v>
      </c>
      <c r="F35" s="236"/>
      <c r="G35" s="125" t="s">
        <v>23</v>
      </c>
      <c r="H35" s="199" t="s">
        <v>94</v>
      </c>
      <c r="I35" s="200"/>
      <c r="J35" s="79">
        <f>J34*0.06294</f>
        <v>55.450139999999998</v>
      </c>
      <c r="K35" s="68" t="s">
        <v>96</v>
      </c>
      <c r="S35" s="128"/>
      <c r="T35" s="128"/>
      <c r="U35" s="5"/>
      <c r="V35" s="133"/>
    </row>
    <row r="36" spans="2:25" ht="19.5" customHeight="1" x14ac:dyDescent="0.4">
      <c r="B36" s="181"/>
      <c r="C36" s="248"/>
      <c r="D36" s="170"/>
      <c r="E36" s="237" t="s">
        <v>91</v>
      </c>
      <c r="F36" s="238"/>
      <c r="G36" s="125" t="s">
        <v>22</v>
      </c>
      <c r="H36" s="198" t="s">
        <v>217</v>
      </c>
      <c r="I36" s="201"/>
      <c r="J36" s="79">
        <f>199.9*H9</f>
        <v>227.886</v>
      </c>
      <c r="K36" s="68" t="s">
        <v>98</v>
      </c>
      <c r="S36" s="128"/>
      <c r="T36" s="128"/>
      <c r="U36" s="27"/>
      <c r="V36" s="133"/>
    </row>
    <row r="37" spans="2:25" ht="19.5" customHeight="1" x14ac:dyDescent="0.4">
      <c r="B37" s="181"/>
      <c r="C37" s="248"/>
      <c r="D37" s="170"/>
      <c r="E37" s="235" t="s">
        <v>48</v>
      </c>
      <c r="F37" s="236"/>
      <c r="G37" s="125" t="s">
        <v>23</v>
      </c>
      <c r="H37" s="198" t="s">
        <v>97</v>
      </c>
      <c r="I37" s="185"/>
      <c r="J37" s="80">
        <f>J36*0.06294</f>
        <v>14.343144839999999</v>
      </c>
      <c r="K37" s="71" t="s">
        <v>99</v>
      </c>
      <c r="M37" s="119" t="s">
        <v>37</v>
      </c>
      <c r="N37" s="30">
        <v>2.2999999999999998</v>
      </c>
      <c r="O37" s="160" t="s">
        <v>241</v>
      </c>
      <c r="S37" s="128"/>
      <c r="T37" s="128"/>
      <c r="U37" s="27"/>
      <c r="V37" s="133"/>
    </row>
    <row r="38" spans="2:25" ht="19.5" customHeight="1" x14ac:dyDescent="0.4">
      <c r="B38" s="181"/>
      <c r="C38" s="248"/>
      <c r="D38" s="170"/>
      <c r="E38" s="198" t="s">
        <v>7</v>
      </c>
      <c r="F38" s="185"/>
      <c r="G38" s="70" t="s">
        <v>102</v>
      </c>
      <c r="H38" s="198" t="s">
        <v>25</v>
      </c>
      <c r="I38" s="185"/>
      <c r="J38" s="81">
        <f>J32+J34+J36</f>
        <v>1851.2539999999999</v>
      </c>
      <c r="K38" s="72" t="s">
        <v>103</v>
      </c>
      <c r="M38" s="19"/>
      <c r="N38" s="133"/>
      <c r="O38" s="128"/>
      <c r="S38" s="128"/>
      <c r="T38" s="128"/>
      <c r="U38" s="28"/>
      <c r="V38" s="133"/>
    </row>
    <row r="39" spans="2:25" ht="19.5" customHeight="1" x14ac:dyDescent="0.4">
      <c r="B39" s="181"/>
      <c r="C39" s="248"/>
      <c r="D39" s="170"/>
      <c r="E39" s="198" t="s">
        <v>5</v>
      </c>
      <c r="F39" s="185"/>
      <c r="G39" s="70" t="s">
        <v>23</v>
      </c>
      <c r="H39" s="198" t="s">
        <v>25</v>
      </c>
      <c r="I39" s="185"/>
      <c r="J39" s="82">
        <f>J33+J35+J37</f>
        <v>96.444296039999998</v>
      </c>
      <c r="K39" s="68" t="s">
        <v>108</v>
      </c>
      <c r="M39" s="170" t="s">
        <v>38</v>
      </c>
      <c r="N39" s="170"/>
      <c r="O39" s="128"/>
      <c r="S39" s="128"/>
      <c r="T39" s="128"/>
      <c r="U39" s="28"/>
      <c r="V39" s="133"/>
    </row>
    <row r="40" spans="2:25" ht="19.5" customHeight="1" x14ac:dyDescent="0.4">
      <c r="B40" s="181"/>
      <c r="C40" s="248"/>
      <c r="D40" s="224" t="s">
        <v>4</v>
      </c>
      <c r="E40" s="233" t="s">
        <v>56</v>
      </c>
      <c r="F40" s="234"/>
      <c r="G40" s="256" t="s">
        <v>23</v>
      </c>
      <c r="H40" s="199" t="s">
        <v>120</v>
      </c>
      <c r="I40" s="201"/>
      <c r="J40" s="81">
        <f>H8*K7*10^(-6)</f>
        <v>81.276299999999992</v>
      </c>
      <c r="K40" s="113" t="s">
        <v>121</v>
      </c>
      <c r="M40" s="119" t="s">
        <v>148</v>
      </c>
      <c r="N40" s="30">
        <v>45</v>
      </c>
      <c r="O40" s="160" t="s">
        <v>242</v>
      </c>
      <c r="S40" s="128"/>
      <c r="T40" s="128"/>
      <c r="U40" s="5"/>
      <c r="V40" s="133"/>
    </row>
    <row r="41" spans="2:25" ht="19.5" customHeight="1" x14ac:dyDescent="0.4">
      <c r="B41" s="181"/>
      <c r="C41" s="248"/>
      <c r="D41" s="170"/>
      <c r="E41" s="226" t="s">
        <v>57</v>
      </c>
      <c r="F41" s="120" t="s">
        <v>61</v>
      </c>
      <c r="G41" s="257"/>
      <c r="H41" s="199" t="s">
        <v>218</v>
      </c>
      <c r="I41" s="185"/>
      <c r="J41" s="79">
        <f>55.8*K8/12018</f>
        <v>55.801392910634043</v>
      </c>
      <c r="K41" s="120" t="s">
        <v>123</v>
      </c>
      <c r="M41" s="119" t="s">
        <v>147</v>
      </c>
      <c r="N41" s="30">
        <v>20</v>
      </c>
      <c r="O41" s="160" t="s">
        <v>227</v>
      </c>
      <c r="S41" s="128"/>
      <c r="T41" s="128"/>
      <c r="U41" s="5"/>
      <c r="V41" s="133"/>
    </row>
    <row r="42" spans="2:25" ht="19.5" customHeight="1" x14ac:dyDescent="0.4">
      <c r="B42" s="181"/>
      <c r="C42" s="248"/>
      <c r="D42" s="170"/>
      <c r="E42" s="181"/>
      <c r="F42" s="120" t="s">
        <v>60</v>
      </c>
      <c r="G42" s="257"/>
      <c r="H42" s="199" t="s">
        <v>219</v>
      </c>
      <c r="I42" s="185"/>
      <c r="J42" s="79">
        <f>21*K8/12018</f>
        <v>21.00052421367948</v>
      </c>
      <c r="K42" s="120" t="s">
        <v>126</v>
      </c>
      <c r="M42" s="6" t="s">
        <v>35</v>
      </c>
      <c r="N42" s="30">
        <v>20</v>
      </c>
      <c r="O42" s="160" t="s">
        <v>227</v>
      </c>
      <c r="S42" s="29"/>
      <c r="T42" s="29"/>
      <c r="U42" s="5"/>
      <c r="V42" s="133"/>
    </row>
    <row r="43" spans="2:25" ht="19.5" customHeight="1" x14ac:dyDescent="0.4">
      <c r="B43" s="181"/>
      <c r="C43" s="248"/>
      <c r="D43" s="170"/>
      <c r="E43" s="181"/>
      <c r="F43" s="120" t="s">
        <v>59</v>
      </c>
      <c r="G43" s="257"/>
      <c r="H43" s="199" t="s">
        <v>125</v>
      </c>
      <c r="I43" s="185"/>
      <c r="J43" s="83">
        <f>J34*3.3/100</f>
        <v>29.072999999999997</v>
      </c>
      <c r="K43" s="74" t="s">
        <v>127</v>
      </c>
      <c r="M43" s="16"/>
      <c r="N43" s="16"/>
      <c r="O43" s="133"/>
      <c r="U43" s="5"/>
      <c r="V43" s="133"/>
    </row>
    <row r="44" spans="2:25" ht="19.5" customHeight="1" x14ac:dyDescent="0.4">
      <c r="B44" s="181"/>
      <c r="C44" s="248"/>
      <c r="D44" s="170"/>
      <c r="E44" s="181"/>
      <c r="F44" s="120" t="s">
        <v>170</v>
      </c>
      <c r="G44" s="257"/>
      <c r="H44" s="199" t="s">
        <v>220</v>
      </c>
      <c r="I44" s="185"/>
      <c r="J44" s="83">
        <f>2.3*K8/12018</f>
        <v>2.3000574138791809</v>
      </c>
      <c r="K44" s="74" t="s">
        <v>129</v>
      </c>
      <c r="M44" s="170" t="s">
        <v>149</v>
      </c>
      <c r="N44" s="170"/>
      <c r="O44" s="133"/>
      <c r="U44" s="5"/>
      <c r="V44" s="133"/>
    </row>
    <row r="45" spans="2:25" ht="19.5" customHeight="1" x14ac:dyDescent="0.4">
      <c r="B45" s="181"/>
      <c r="C45" s="248"/>
      <c r="D45" s="170"/>
      <c r="E45" s="181"/>
      <c r="F45" s="120" t="s">
        <v>58</v>
      </c>
      <c r="G45" s="257"/>
      <c r="H45" s="199" t="s">
        <v>130</v>
      </c>
      <c r="I45" s="185"/>
      <c r="J45" s="83">
        <f>5.6</f>
        <v>5.6</v>
      </c>
      <c r="K45" s="74" t="s">
        <v>131</v>
      </c>
      <c r="M45" s="119" t="s">
        <v>150</v>
      </c>
      <c r="N45" s="88">
        <f>N37/100*(1+N37/100)^N40/((1+N37/100)^N40-1)</f>
        <v>3.590469408580288E-2</v>
      </c>
      <c r="O45" s="132"/>
      <c r="U45" s="5"/>
      <c r="V45" s="133"/>
    </row>
    <row r="46" spans="2:25" ht="19.5" customHeight="1" x14ac:dyDescent="0.4">
      <c r="B46" s="181"/>
      <c r="C46" s="248"/>
      <c r="D46" s="170"/>
      <c r="E46" s="181"/>
      <c r="F46" s="120" t="s">
        <v>68</v>
      </c>
      <c r="G46" s="258"/>
      <c r="H46" s="198" t="s">
        <v>25</v>
      </c>
      <c r="I46" s="185"/>
      <c r="J46" s="79">
        <f>J41+J42+J43+J44+J45</f>
        <v>113.77497453819269</v>
      </c>
      <c r="K46" s="68" t="s">
        <v>132</v>
      </c>
      <c r="L46" s="133"/>
      <c r="M46" s="119" t="s">
        <v>151</v>
      </c>
      <c r="N46" s="88">
        <f>N37/100*(1+N37/100)^N41/((1+N37/100)^N41-1)</f>
        <v>6.2941510992284025E-2</v>
      </c>
      <c r="O46" s="132"/>
      <c r="P46" s="133"/>
      <c r="Q46" s="133"/>
      <c r="R46" s="133"/>
      <c r="S46" s="9"/>
      <c r="T46" s="128"/>
      <c r="U46" s="128"/>
      <c r="V46" s="133"/>
      <c r="W46" s="133"/>
      <c r="X46" s="133"/>
      <c r="Y46" s="133"/>
    </row>
    <row r="47" spans="2:25" ht="19.5" customHeight="1" x14ac:dyDescent="0.4">
      <c r="B47" s="181"/>
      <c r="C47" s="248"/>
      <c r="D47" s="225"/>
      <c r="E47" s="226" t="s">
        <v>133</v>
      </c>
      <c r="F47" s="181"/>
      <c r="G47" s="70" t="s">
        <v>102</v>
      </c>
      <c r="H47" s="227" t="s">
        <v>25</v>
      </c>
      <c r="I47" s="170"/>
      <c r="J47" s="75">
        <v>70</v>
      </c>
      <c r="K47" s="84" t="s">
        <v>134</v>
      </c>
      <c r="L47" s="133"/>
      <c r="M47" s="6" t="s">
        <v>152</v>
      </c>
      <c r="N47" s="88">
        <f>N37/100*(1+N37/100)^N42/((1+N37/100)^N42-1)</f>
        <v>6.2941510992284025E-2</v>
      </c>
      <c r="O47" s="132"/>
      <c r="P47" s="133"/>
      <c r="Q47" s="133"/>
      <c r="R47" s="133"/>
      <c r="S47" s="9"/>
      <c r="T47" s="128"/>
      <c r="U47" s="128"/>
      <c r="V47" s="133"/>
      <c r="W47" s="133"/>
      <c r="X47" s="133"/>
      <c r="Y47" s="133"/>
    </row>
    <row r="48" spans="2:25" ht="19.5" customHeight="1" x14ac:dyDescent="0.4">
      <c r="B48" s="249"/>
      <c r="C48" s="248"/>
      <c r="D48" s="244" t="s">
        <v>135</v>
      </c>
      <c r="E48" s="244"/>
      <c r="F48" s="244"/>
      <c r="G48" s="115" t="s">
        <v>23</v>
      </c>
      <c r="H48" s="245" t="s">
        <v>25</v>
      </c>
      <c r="I48" s="246"/>
      <c r="J48" s="138">
        <f>J39+J40+J46</f>
        <v>291.49557057819266</v>
      </c>
      <c r="K48" s="95" t="s">
        <v>139</v>
      </c>
      <c r="L48" s="133"/>
      <c r="P48" s="133"/>
      <c r="Q48" s="133"/>
      <c r="R48" s="133"/>
      <c r="S48" s="128"/>
      <c r="T48" s="128"/>
      <c r="U48" s="128"/>
      <c r="V48" s="133"/>
      <c r="W48" s="133"/>
      <c r="X48" s="133"/>
      <c r="Y48" s="133"/>
    </row>
    <row r="49" spans="2:22" ht="19.5" customHeight="1" x14ac:dyDescent="0.4">
      <c r="B49" s="252"/>
      <c r="C49" s="225"/>
      <c r="D49" s="225"/>
      <c r="E49" s="225"/>
      <c r="F49" s="225"/>
      <c r="G49" s="225"/>
      <c r="H49" s="225"/>
      <c r="I49" s="225"/>
      <c r="J49" s="225"/>
      <c r="K49" s="225"/>
      <c r="S49" s="128"/>
      <c r="T49" s="128"/>
      <c r="U49" s="128"/>
      <c r="V49" s="133"/>
    </row>
    <row r="50" spans="2:22" ht="39" customHeight="1" x14ac:dyDescent="0.4">
      <c r="B50" s="254" t="s">
        <v>143</v>
      </c>
      <c r="C50" s="255"/>
      <c r="D50" s="253" t="s">
        <v>142</v>
      </c>
      <c r="E50" s="208"/>
      <c r="F50" s="185"/>
      <c r="G50" s="139" t="s">
        <v>31</v>
      </c>
      <c r="H50" s="250" t="s">
        <v>25</v>
      </c>
      <c r="I50" s="251"/>
      <c r="J50" s="140">
        <f>(1-J48/J29)</f>
        <v>0.23164848444050556</v>
      </c>
      <c r="K50" s="141" t="s">
        <v>145</v>
      </c>
    </row>
    <row r="51" spans="2:22" ht="39" customHeight="1" x14ac:dyDescent="0.4">
      <c r="B51" s="254" t="s">
        <v>144</v>
      </c>
      <c r="C51" s="255"/>
      <c r="D51" s="215" t="s">
        <v>142</v>
      </c>
      <c r="E51" s="170"/>
      <c r="F51" s="170"/>
      <c r="G51" s="142" t="s">
        <v>31</v>
      </c>
      <c r="H51" s="189" t="s">
        <v>25</v>
      </c>
      <c r="I51" s="190"/>
      <c r="J51" s="143">
        <f>(1-J48/J31)</f>
        <v>0.22228028596456673</v>
      </c>
      <c r="K51" s="144" t="s">
        <v>146</v>
      </c>
    </row>
    <row r="52" spans="2:22" ht="19.5" customHeight="1" x14ac:dyDescent="0.4"/>
    <row r="53" spans="2:22" ht="33" x14ac:dyDescent="0.4">
      <c r="B53" s="8" t="s">
        <v>13</v>
      </c>
    </row>
    <row r="54" spans="2:22" ht="19.5" customHeight="1" x14ac:dyDescent="0.4">
      <c r="B54" s="170" t="s">
        <v>11</v>
      </c>
      <c r="C54" s="170"/>
      <c r="D54" s="170"/>
      <c r="E54" s="170"/>
      <c r="F54" s="119"/>
      <c r="G54" s="119" t="s">
        <v>18</v>
      </c>
      <c r="H54" s="188" t="s">
        <v>17</v>
      </c>
      <c r="I54" s="185"/>
      <c r="J54" s="119" t="s">
        <v>9</v>
      </c>
    </row>
    <row r="55" spans="2:22" ht="19.5" customHeight="1" x14ac:dyDescent="0.4">
      <c r="B55" s="181" t="s">
        <v>0</v>
      </c>
      <c r="C55" s="181"/>
      <c r="D55" s="121"/>
      <c r="E55" s="121" t="s">
        <v>7</v>
      </c>
      <c r="F55" s="121"/>
      <c r="G55" s="119" t="s">
        <v>15</v>
      </c>
      <c r="H55" s="191">
        <f>J38</f>
        <v>1851.2539999999999</v>
      </c>
      <c r="I55" s="192"/>
      <c r="J55" s="12" t="s">
        <v>199</v>
      </c>
    </row>
    <row r="56" spans="2:22" ht="19.5" customHeight="1" x14ac:dyDescent="0.4">
      <c r="B56" s="181" t="s">
        <v>4</v>
      </c>
      <c r="C56" s="181"/>
      <c r="D56" s="121"/>
      <c r="E56" s="121" t="s">
        <v>14</v>
      </c>
      <c r="F56" s="122"/>
      <c r="G56" s="45" t="s">
        <v>16</v>
      </c>
      <c r="H56" s="184">
        <f>J40+J46</f>
        <v>195.05127453819267</v>
      </c>
      <c r="I56" s="185"/>
      <c r="J56" s="123" t="s">
        <v>200</v>
      </c>
    </row>
    <row r="57" spans="2:22" ht="39" customHeight="1" x14ac:dyDescent="0.4">
      <c r="B57" s="214" t="s">
        <v>13</v>
      </c>
      <c r="C57" s="215"/>
      <c r="D57" s="215"/>
      <c r="E57" s="215"/>
      <c r="F57" s="124"/>
      <c r="G57" s="142" t="s">
        <v>19</v>
      </c>
      <c r="H57" s="186">
        <f>H55/H56</f>
        <v>9.4911146024708941</v>
      </c>
      <c r="I57" s="187"/>
      <c r="J57" s="145" t="s">
        <v>201</v>
      </c>
    </row>
    <row r="58" spans="2:22" ht="19.5" customHeight="1" x14ac:dyDescent="0.4"/>
    <row r="59" spans="2:22" ht="33" x14ac:dyDescent="0.4">
      <c r="B59" s="8" t="s">
        <v>20</v>
      </c>
      <c r="M59" s="87"/>
      <c r="N59" s="128"/>
      <c r="O59" s="128"/>
    </row>
    <row r="60" spans="2:22" ht="19.5" customHeight="1" x14ac:dyDescent="0.4">
      <c r="B60" s="170" t="s">
        <v>11</v>
      </c>
      <c r="C60" s="170"/>
      <c r="D60" s="170"/>
      <c r="E60" s="170"/>
      <c r="F60" s="119"/>
      <c r="G60" s="119" t="s">
        <v>18</v>
      </c>
      <c r="H60" s="188" t="s">
        <v>27</v>
      </c>
      <c r="I60" s="185"/>
      <c r="J60" s="126" t="s">
        <v>175</v>
      </c>
      <c r="K60" s="119" t="s">
        <v>26</v>
      </c>
      <c r="M60" s="119"/>
      <c r="N60" s="170" t="s">
        <v>156</v>
      </c>
      <c r="O60" s="170"/>
    </row>
    <row r="61" spans="2:22" ht="19.5" customHeight="1" x14ac:dyDescent="0.4">
      <c r="B61" s="241" t="s">
        <v>168</v>
      </c>
      <c r="C61" s="243" t="s">
        <v>169</v>
      </c>
      <c r="D61" s="90"/>
      <c r="E61" s="90" t="s">
        <v>154</v>
      </c>
      <c r="F61" s="117"/>
      <c r="G61" s="240" t="s">
        <v>174</v>
      </c>
      <c r="H61" s="271" t="s">
        <v>221</v>
      </c>
      <c r="I61" s="272"/>
      <c r="J61" s="277">
        <f>(22195*K9+7*10^6)*10^-3</f>
        <v>82954.84120000001</v>
      </c>
      <c r="K61" s="93"/>
      <c r="M61" s="119" t="s">
        <v>202</v>
      </c>
      <c r="N61" s="119" t="s">
        <v>157</v>
      </c>
      <c r="O61" s="119">
        <v>9.484</v>
      </c>
    </row>
    <row r="62" spans="2:22" ht="19.5" customHeight="1" x14ac:dyDescent="0.4">
      <c r="B62" s="242"/>
      <c r="C62" s="242"/>
      <c r="D62" s="90"/>
      <c r="E62" s="117" t="s">
        <v>172</v>
      </c>
      <c r="F62" s="117"/>
      <c r="G62" s="176"/>
      <c r="H62" s="273"/>
      <c r="I62" s="274"/>
      <c r="J62" s="257"/>
      <c r="K62" s="93"/>
      <c r="M62" s="119" t="s">
        <v>203</v>
      </c>
      <c r="N62" s="119" t="s">
        <v>158</v>
      </c>
      <c r="O62" s="119">
        <v>38.9</v>
      </c>
    </row>
    <row r="63" spans="2:22" ht="19.5" customHeight="1" x14ac:dyDescent="0.4">
      <c r="B63" s="242"/>
      <c r="C63" s="242"/>
      <c r="D63" s="90"/>
      <c r="E63" s="117" t="s">
        <v>173</v>
      </c>
      <c r="F63" s="118"/>
      <c r="G63" s="176"/>
      <c r="H63" s="273"/>
      <c r="I63" s="274"/>
      <c r="J63" s="257"/>
      <c r="K63" s="93"/>
      <c r="M63" s="119" t="s">
        <v>204</v>
      </c>
      <c r="N63" s="119" t="s">
        <v>159</v>
      </c>
      <c r="O63" s="119">
        <v>50.06</v>
      </c>
    </row>
    <row r="64" spans="2:22" ht="19.5" customHeight="1" x14ac:dyDescent="0.4">
      <c r="B64" s="183"/>
      <c r="C64" s="183"/>
      <c r="D64" s="90"/>
      <c r="E64" s="90" t="s">
        <v>67</v>
      </c>
      <c r="F64" s="90"/>
      <c r="G64" s="176"/>
      <c r="H64" s="275"/>
      <c r="I64" s="276"/>
      <c r="J64" s="258"/>
      <c r="K64" s="93"/>
      <c r="M64" s="119" t="s">
        <v>205</v>
      </c>
      <c r="N64" s="119" t="s">
        <v>160</v>
      </c>
      <c r="O64" s="119">
        <v>30.7</v>
      </c>
    </row>
    <row r="65" spans="2:20" ht="19.5" customHeight="1" x14ac:dyDescent="0.4">
      <c r="B65" s="247" t="s">
        <v>6</v>
      </c>
      <c r="C65" s="247" t="s">
        <v>177</v>
      </c>
      <c r="D65" s="95"/>
      <c r="E65" s="95" t="s">
        <v>154</v>
      </c>
      <c r="F65" s="73"/>
      <c r="G65" s="261" t="s">
        <v>174</v>
      </c>
      <c r="H65" s="165" t="s">
        <v>180</v>
      </c>
      <c r="I65" s="166"/>
      <c r="J65" s="96">
        <f>J41*10^6/H2*O61*10^-3</f>
        <v>35281.360690963549</v>
      </c>
      <c r="K65" s="97"/>
      <c r="M65" s="119" t="s">
        <v>155</v>
      </c>
      <c r="N65" s="119" t="s">
        <v>161</v>
      </c>
      <c r="O65" s="119">
        <v>11799</v>
      </c>
    </row>
    <row r="66" spans="2:20" ht="19.5" customHeight="1" x14ac:dyDescent="0.4">
      <c r="B66" s="259"/>
      <c r="C66" s="259"/>
      <c r="D66" s="95"/>
      <c r="E66" s="98" t="s">
        <v>172</v>
      </c>
      <c r="F66" s="73"/>
      <c r="G66" s="268"/>
      <c r="H66" s="179" t="s">
        <v>182</v>
      </c>
      <c r="I66" s="180"/>
      <c r="J66" s="96">
        <f>J42*10^6/H5*O63*10^-3</f>
        <v>11812.204967829157</v>
      </c>
      <c r="K66" s="97"/>
      <c r="M66" s="133"/>
      <c r="N66" s="133"/>
      <c r="O66" s="133"/>
    </row>
    <row r="67" spans="2:20" ht="19.5" customHeight="1" x14ac:dyDescent="0.4">
      <c r="B67" s="259"/>
      <c r="C67" s="259"/>
      <c r="D67" s="95"/>
      <c r="E67" s="98" t="s">
        <v>173</v>
      </c>
      <c r="F67" s="95"/>
      <c r="G67" s="268"/>
      <c r="H67" s="165" t="s">
        <v>181</v>
      </c>
      <c r="I67" s="166"/>
      <c r="J67" s="96">
        <f>J44*10^6/H3*O64*10^-3</f>
        <v>353.0588130304543</v>
      </c>
      <c r="K67" s="97"/>
      <c r="M67" s="133"/>
      <c r="N67" s="133"/>
      <c r="O67" s="133"/>
    </row>
    <row r="68" spans="2:20" ht="19.5" customHeight="1" x14ac:dyDescent="0.4">
      <c r="B68" s="260"/>
      <c r="C68" s="260"/>
      <c r="D68" s="95"/>
      <c r="E68" s="95" t="s">
        <v>67</v>
      </c>
      <c r="F68" s="95"/>
      <c r="G68" s="268"/>
      <c r="H68" s="165" t="s">
        <v>69</v>
      </c>
      <c r="I68" s="166"/>
      <c r="J68" s="96">
        <f>J65+J66+J67</f>
        <v>47446.624471823161</v>
      </c>
      <c r="K68" s="97"/>
      <c r="M68" s="87"/>
      <c r="N68" s="128"/>
      <c r="O68" s="128"/>
    </row>
    <row r="69" spans="2:20" ht="39" customHeight="1" x14ac:dyDescent="0.4">
      <c r="B69" s="264" t="s">
        <v>20</v>
      </c>
      <c r="C69" s="265"/>
      <c r="D69" s="265"/>
      <c r="E69" s="265"/>
      <c r="F69" s="114"/>
      <c r="G69" s="146" t="s">
        <v>31</v>
      </c>
      <c r="H69" s="266" t="s">
        <v>25</v>
      </c>
      <c r="I69" s="267"/>
      <c r="J69" s="147">
        <f>(1-J68/J61)</f>
        <v>0.42804273041242158</v>
      </c>
      <c r="K69" s="148"/>
      <c r="M69" s="133"/>
      <c r="N69" s="133"/>
      <c r="O69" s="133"/>
      <c r="T69" s="1"/>
    </row>
    <row r="70" spans="2:20" ht="19.5" customHeight="1" x14ac:dyDescent="0.4">
      <c r="M70" s="133"/>
      <c r="N70" s="133"/>
      <c r="O70" s="133"/>
    </row>
    <row r="71" spans="2:20" ht="33" x14ac:dyDescent="0.4">
      <c r="B71" s="8" t="s">
        <v>21</v>
      </c>
      <c r="M71" s="87"/>
      <c r="N71" s="128"/>
      <c r="O71" s="128"/>
    </row>
    <row r="72" spans="2:20" ht="19.5" customHeight="1" x14ac:dyDescent="0.4">
      <c r="B72" s="170" t="s">
        <v>11</v>
      </c>
      <c r="C72" s="170"/>
      <c r="D72" s="170"/>
      <c r="E72" s="170"/>
      <c r="F72" s="119"/>
      <c r="G72" s="119" t="s">
        <v>18</v>
      </c>
      <c r="H72" s="188" t="s">
        <v>27</v>
      </c>
      <c r="I72" s="185"/>
      <c r="J72" s="126" t="s">
        <v>179</v>
      </c>
      <c r="K72" s="119" t="s">
        <v>26</v>
      </c>
      <c r="M72" s="119"/>
      <c r="N72" s="170" t="s">
        <v>162</v>
      </c>
      <c r="O72" s="170"/>
    </row>
    <row r="73" spans="2:20" ht="19.5" customHeight="1" x14ac:dyDescent="0.4">
      <c r="B73" s="241" t="s">
        <v>168</v>
      </c>
      <c r="C73" s="243" t="s">
        <v>169</v>
      </c>
      <c r="D73" s="90"/>
      <c r="E73" s="90" t="s">
        <v>154</v>
      </c>
      <c r="F73" s="117"/>
      <c r="G73" s="240" t="s">
        <v>178</v>
      </c>
      <c r="H73" s="271" t="s">
        <v>222</v>
      </c>
      <c r="I73" s="272"/>
      <c r="J73" s="277">
        <f>1.5175*K9+463.89</f>
        <v>5657.0178000000005</v>
      </c>
      <c r="K73" s="93"/>
      <c r="M73" s="119" t="s">
        <v>206</v>
      </c>
      <c r="N73" s="119" t="s">
        <v>163</v>
      </c>
      <c r="O73" s="119">
        <v>5.8699999999999996E-4</v>
      </c>
    </row>
    <row r="74" spans="2:20" ht="19.5" customHeight="1" x14ac:dyDescent="0.4">
      <c r="B74" s="242"/>
      <c r="C74" s="242"/>
      <c r="D74" s="90"/>
      <c r="E74" s="117" t="s">
        <v>172</v>
      </c>
      <c r="F74" s="117"/>
      <c r="G74" s="176"/>
      <c r="H74" s="273"/>
      <c r="I74" s="274"/>
      <c r="J74" s="257"/>
      <c r="K74" s="93"/>
      <c r="M74" s="119" t="s">
        <v>207</v>
      </c>
      <c r="N74" s="119" t="s">
        <v>164</v>
      </c>
      <c r="O74" s="119">
        <v>2.71</v>
      </c>
    </row>
    <row r="75" spans="2:20" ht="19.5" customHeight="1" x14ac:dyDescent="0.4">
      <c r="B75" s="242"/>
      <c r="C75" s="242"/>
      <c r="D75" s="90"/>
      <c r="E75" s="117" t="s">
        <v>173</v>
      </c>
      <c r="F75" s="118"/>
      <c r="G75" s="176"/>
      <c r="H75" s="273"/>
      <c r="I75" s="274"/>
      <c r="J75" s="257"/>
      <c r="K75" s="93"/>
      <c r="M75" s="119" t="s">
        <v>208</v>
      </c>
      <c r="N75" s="119" t="s">
        <v>165</v>
      </c>
      <c r="O75" s="119">
        <v>3</v>
      </c>
    </row>
    <row r="76" spans="2:20" ht="19.5" customHeight="1" x14ac:dyDescent="0.4">
      <c r="B76" s="242"/>
      <c r="C76" s="242"/>
      <c r="D76" s="90"/>
      <c r="E76" s="117" t="s">
        <v>197</v>
      </c>
      <c r="F76" s="118"/>
      <c r="G76" s="176"/>
      <c r="H76" s="275"/>
      <c r="I76" s="276"/>
      <c r="J76" s="258"/>
      <c r="K76" s="93"/>
      <c r="M76" s="119" t="s">
        <v>209</v>
      </c>
      <c r="N76" s="119" t="s">
        <v>166</v>
      </c>
      <c r="O76" s="119">
        <v>2E-3</v>
      </c>
    </row>
    <row r="77" spans="2:20" ht="19.5" customHeight="1" x14ac:dyDescent="0.4">
      <c r="B77" s="183"/>
      <c r="C77" s="183"/>
      <c r="D77" s="90"/>
      <c r="E77" s="90" t="s">
        <v>67</v>
      </c>
      <c r="F77" s="90"/>
      <c r="G77" s="176"/>
      <c r="H77" s="167" t="s">
        <v>69</v>
      </c>
      <c r="I77" s="168"/>
      <c r="J77" s="92">
        <f>J73</f>
        <v>5657.0178000000005</v>
      </c>
      <c r="K77" s="93"/>
      <c r="M77" s="119" t="s">
        <v>155</v>
      </c>
      <c r="N77" s="119" t="s">
        <v>167</v>
      </c>
      <c r="O77" s="119">
        <v>0.32</v>
      </c>
    </row>
    <row r="78" spans="2:20" ht="19.5" customHeight="1" x14ac:dyDescent="0.4">
      <c r="B78" s="247" t="s">
        <v>6</v>
      </c>
      <c r="C78" s="247" t="s">
        <v>177</v>
      </c>
      <c r="D78" s="95"/>
      <c r="E78" s="95" t="s">
        <v>154</v>
      </c>
      <c r="F78" s="73"/>
      <c r="G78" s="261" t="s">
        <v>178</v>
      </c>
      <c r="H78" s="165" t="s">
        <v>190</v>
      </c>
      <c r="I78" s="166"/>
      <c r="J78" s="96">
        <f>J41*10^6/H2*O73</f>
        <v>2183.6945092361452</v>
      </c>
      <c r="K78" s="97"/>
      <c r="M78" s="6" t="s">
        <v>210</v>
      </c>
      <c r="N78" s="119" t="s">
        <v>167</v>
      </c>
      <c r="O78" s="119">
        <v>298</v>
      </c>
    </row>
    <row r="79" spans="2:20" ht="19.5" customHeight="1" x14ac:dyDescent="0.4">
      <c r="B79" s="259"/>
      <c r="C79" s="259"/>
      <c r="D79" s="95"/>
      <c r="E79" s="98" t="s">
        <v>172</v>
      </c>
      <c r="F79" s="73"/>
      <c r="G79" s="262"/>
      <c r="H79" s="179" t="s">
        <v>191</v>
      </c>
      <c r="I79" s="180"/>
      <c r="J79" s="96">
        <f>J42*10^6/H5*O75/10^3</f>
        <v>707.88283866335337</v>
      </c>
      <c r="K79" s="97"/>
      <c r="M79" s="133"/>
      <c r="N79" s="133"/>
      <c r="O79" s="133"/>
    </row>
    <row r="80" spans="2:20" ht="19.5" customHeight="1" x14ac:dyDescent="0.4">
      <c r="B80" s="259"/>
      <c r="C80" s="259"/>
      <c r="D80" s="95"/>
      <c r="E80" s="98" t="s">
        <v>173</v>
      </c>
      <c r="F80" s="95"/>
      <c r="G80" s="262"/>
      <c r="H80" s="165" t="s">
        <v>192</v>
      </c>
      <c r="I80" s="166"/>
      <c r="J80" s="96">
        <f>J44*10^6/H3*O76</f>
        <v>23.000574138791809</v>
      </c>
      <c r="K80" s="97"/>
      <c r="M80" s="133"/>
      <c r="N80" s="133"/>
      <c r="O80" s="133"/>
    </row>
    <row r="81" spans="2:22" ht="19.5" customHeight="1" x14ac:dyDescent="0.4">
      <c r="B81" s="259"/>
      <c r="C81" s="259"/>
      <c r="D81" s="95"/>
      <c r="E81" s="98" t="s">
        <v>198</v>
      </c>
      <c r="F81" s="95"/>
      <c r="G81" s="262"/>
      <c r="H81" s="165" t="s">
        <v>196</v>
      </c>
      <c r="I81" s="166"/>
      <c r="J81" s="96">
        <f>0.0095/1000*D2*O78</f>
        <v>46.133976000000004</v>
      </c>
      <c r="K81" s="97"/>
      <c r="M81" s="133"/>
      <c r="N81" s="133"/>
      <c r="O81" s="133"/>
    </row>
    <row r="82" spans="2:22" ht="19.5" customHeight="1" x14ac:dyDescent="0.4">
      <c r="B82" s="260"/>
      <c r="C82" s="260"/>
      <c r="D82" s="95"/>
      <c r="E82" s="95" t="s">
        <v>67</v>
      </c>
      <c r="F82" s="95"/>
      <c r="G82" s="263"/>
      <c r="H82" s="165" t="s">
        <v>69</v>
      </c>
      <c r="I82" s="166"/>
      <c r="J82" s="96">
        <f>J78+J79+J80+J81</f>
        <v>2960.7118980382907</v>
      </c>
      <c r="K82" s="97"/>
      <c r="M82" s="87"/>
      <c r="N82" s="128"/>
      <c r="O82" s="128"/>
    </row>
    <row r="83" spans="2:22" ht="39" customHeight="1" x14ac:dyDescent="0.4">
      <c r="B83" s="264" t="s">
        <v>21</v>
      </c>
      <c r="C83" s="265"/>
      <c r="D83" s="265"/>
      <c r="E83" s="265"/>
      <c r="F83" s="114"/>
      <c r="G83" s="146" t="s">
        <v>31</v>
      </c>
      <c r="H83" s="266" t="s">
        <v>25</v>
      </c>
      <c r="I83" s="267"/>
      <c r="J83" s="147">
        <f>(1-J82/J77)</f>
        <v>0.476630266562306</v>
      </c>
      <c r="K83" s="148"/>
      <c r="M83" s="133"/>
      <c r="N83" s="133"/>
      <c r="O83" s="133"/>
      <c r="T83" s="1"/>
    </row>
    <row r="84" spans="2:22" s="128" customFormat="1" ht="19.5" customHeight="1" x14ac:dyDescent="0.4">
      <c r="B84" s="100"/>
      <c r="C84" s="100"/>
      <c r="D84" s="100"/>
      <c r="E84" s="86"/>
      <c r="F84" s="86"/>
      <c r="G84" s="24"/>
      <c r="H84" s="102"/>
      <c r="I84" s="102"/>
      <c r="J84" s="103"/>
      <c r="K84" s="86"/>
    </row>
    <row r="85" spans="2:22" s="128" customFormat="1" ht="19.5" customHeight="1" x14ac:dyDescent="0.4">
      <c r="B85" s="100"/>
      <c r="C85" s="100"/>
      <c r="D85" s="100"/>
      <c r="E85" s="100"/>
      <c r="F85" s="100"/>
      <c r="J85" s="104"/>
      <c r="K85" s="86"/>
    </row>
    <row r="86" spans="2:22" s="128" customFormat="1" ht="19.5" customHeight="1" x14ac:dyDescent="0.4">
      <c r="B86" s="100"/>
      <c r="C86" s="100"/>
      <c r="D86" s="100"/>
      <c r="E86" s="100"/>
      <c r="F86" s="100"/>
      <c r="J86" s="104"/>
      <c r="K86" s="86"/>
    </row>
    <row r="87" spans="2:22" s="128" customFormat="1" ht="19.5" customHeight="1" x14ac:dyDescent="0.4">
      <c r="B87" s="100"/>
      <c r="C87" s="100"/>
      <c r="D87" s="100"/>
      <c r="E87" s="100"/>
      <c r="F87" s="100"/>
      <c r="J87" s="103"/>
      <c r="K87" s="105"/>
      <c r="U87" s="101"/>
      <c r="V87" s="106"/>
    </row>
    <row r="88" spans="2:22" s="128" customFormat="1" ht="19.5" customHeight="1" x14ac:dyDescent="0.4">
      <c r="B88" s="100"/>
      <c r="C88" s="100"/>
      <c r="D88" s="100"/>
      <c r="E88" s="100"/>
      <c r="F88" s="100"/>
      <c r="J88" s="103"/>
      <c r="K88" s="105"/>
      <c r="S88" s="100"/>
    </row>
    <row r="89" spans="2:22" s="128" customFormat="1" ht="19.5" customHeight="1" x14ac:dyDescent="0.4">
      <c r="B89" s="100"/>
      <c r="C89" s="100"/>
      <c r="D89" s="100"/>
      <c r="J89" s="103"/>
      <c r="K89" s="105"/>
      <c r="U89" s="107"/>
      <c r="V89" s="100"/>
    </row>
    <row r="90" spans="2:22" s="128" customFormat="1" ht="39" customHeight="1" x14ac:dyDescent="0.4">
      <c r="B90" s="108"/>
      <c r="C90" s="109"/>
      <c r="D90" s="109"/>
      <c r="E90" s="109"/>
      <c r="F90" s="109"/>
      <c r="J90" s="110"/>
      <c r="K90" s="111"/>
      <c r="U90" s="112"/>
      <c r="V90" s="100"/>
    </row>
  </sheetData>
  <mergeCells count="145">
    <mergeCell ref="H82:I82"/>
    <mergeCell ref="B83:E83"/>
    <mergeCell ref="H83:I83"/>
    <mergeCell ref="H23:I27"/>
    <mergeCell ref="J23:J27"/>
    <mergeCell ref="H61:I64"/>
    <mergeCell ref="J61:J64"/>
    <mergeCell ref="H77:I77"/>
    <mergeCell ref="B78:B82"/>
    <mergeCell ref="C78:C82"/>
    <mergeCell ref="G78:G82"/>
    <mergeCell ref="H78:I78"/>
    <mergeCell ref="H79:I79"/>
    <mergeCell ref="H80:I80"/>
    <mergeCell ref="H81:I81"/>
    <mergeCell ref="B69:E69"/>
    <mergeCell ref="H69:I69"/>
    <mergeCell ref="B72:E72"/>
    <mergeCell ref="H72:I72"/>
    <mergeCell ref="B57:E57"/>
    <mergeCell ref="H57:I57"/>
    <mergeCell ref="B60:E60"/>
    <mergeCell ref="H60:I60"/>
    <mergeCell ref="B49:K49"/>
    <mergeCell ref="N72:O72"/>
    <mergeCell ref="B73:B77"/>
    <mergeCell ref="C73:C77"/>
    <mergeCell ref="G73:G77"/>
    <mergeCell ref="B65:B68"/>
    <mergeCell ref="C65:C68"/>
    <mergeCell ref="G65:G68"/>
    <mergeCell ref="H65:I65"/>
    <mergeCell ref="H66:I66"/>
    <mergeCell ref="H67:I67"/>
    <mergeCell ref="H68:I68"/>
    <mergeCell ref="H73:I76"/>
    <mergeCell ref="J73:J76"/>
    <mergeCell ref="N60:O60"/>
    <mergeCell ref="B61:B64"/>
    <mergeCell ref="C61:C64"/>
    <mergeCell ref="G61:G64"/>
    <mergeCell ref="B54:E54"/>
    <mergeCell ref="H54:I54"/>
    <mergeCell ref="B55:C55"/>
    <mergeCell ref="H55:I55"/>
    <mergeCell ref="B56:C56"/>
    <mergeCell ref="H56:I56"/>
    <mergeCell ref="B50:C50"/>
    <mergeCell ref="D50:F50"/>
    <mergeCell ref="H50:I50"/>
    <mergeCell ref="B51:C51"/>
    <mergeCell ref="D51:F51"/>
    <mergeCell ref="H51:I51"/>
    <mergeCell ref="M44:N44"/>
    <mergeCell ref="H45:I45"/>
    <mergeCell ref="H46:I46"/>
    <mergeCell ref="E47:F47"/>
    <mergeCell ref="H47:I47"/>
    <mergeCell ref="D48:F48"/>
    <mergeCell ref="H48:I48"/>
    <mergeCell ref="H34:I34"/>
    <mergeCell ref="E35:F35"/>
    <mergeCell ref="H35:I35"/>
    <mergeCell ref="E36:F36"/>
    <mergeCell ref="H36:I36"/>
    <mergeCell ref="M39:N39"/>
    <mergeCell ref="D40:D47"/>
    <mergeCell ref="E40:F40"/>
    <mergeCell ref="G40:G46"/>
    <mergeCell ref="H40:I40"/>
    <mergeCell ref="E41:E46"/>
    <mergeCell ref="H41:I41"/>
    <mergeCell ref="H42:I42"/>
    <mergeCell ref="H43:I43"/>
    <mergeCell ref="H44:I44"/>
    <mergeCell ref="N29:N30"/>
    <mergeCell ref="B31:C31"/>
    <mergeCell ref="E31:F31"/>
    <mergeCell ref="H31:I31"/>
    <mergeCell ref="B32:B48"/>
    <mergeCell ref="C32:C48"/>
    <mergeCell ref="D32:D39"/>
    <mergeCell ref="E32:F32"/>
    <mergeCell ref="H32:I32"/>
    <mergeCell ref="E33:F33"/>
    <mergeCell ref="D29:F30"/>
    <mergeCell ref="G29:G30"/>
    <mergeCell ref="H29:I30"/>
    <mergeCell ref="J29:J30"/>
    <mergeCell ref="K29:K30"/>
    <mergeCell ref="M29:M30"/>
    <mergeCell ref="E37:F37"/>
    <mergeCell ref="H37:I37"/>
    <mergeCell ref="E38:F38"/>
    <mergeCell ref="H38:I38"/>
    <mergeCell ref="E39:F39"/>
    <mergeCell ref="H39:I39"/>
    <mergeCell ref="H33:I33"/>
    <mergeCell ref="E34:F34"/>
    <mergeCell ref="M22:N22"/>
    <mergeCell ref="E23:E28"/>
    <mergeCell ref="H28:I28"/>
    <mergeCell ref="E20:F20"/>
    <mergeCell ref="H20:I20"/>
    <mergeCell ref="E21:F21"/>
    <mergeCell ref="H21:I21"/>
    <mergeCell ref="D22:D28"/>
    <mergeCell ref="E22:F22"/>
    <mergeCell ref="G22:G28"/>
    <mergeCell ref="H22:I22"/>
    <mergeCell ref="E18:F18"/>
    <mergeCell ref="H18:I18"/>
    <mergeCell ref="E19:F19"/>
    <mergeCell ref="H19:I19"/>
    <mergeCell ref="H13:I13"/>
    <mergeCell ref="B14:B30"/>
    <mergeCell ref="C14:C30"/>
    <mergeCell ref="D14:D21"/>
    <mergeCell ref="E14:F14"/>
    <mergeCell ref="H14:I14"/>
    <mergeCell ref="E15:F15"/>
    <mergeCell ref="H15:I15"/>
    <mergeCell ref="E16:F16"/>
    <mergeCell ref="H16:I16"/>
    <mergeCell ref="F9:G9"/>
    <mergeCell ref="D13:F13"/>
    <mergeCell ref="F4:G4"/>
    <mergeCell ref="B5:C5"/>
    <mergeCell ref="F5:G5"/>
    <mergeCell ref="B3:C3"/>
    <mergeCell ref="F6:G6"/>
    <mergeCell ref="E17:F17"/>
    <mergeCell ref="H17:I17"/>
    <mergeCell ref="B9:E9"/>
    <mergeCell ref="B10:E10"/>
    <mergeCell ref="B2:C2"/>
    <mergeCell ref="F2:G2"/>
    <mergeCell ref="R2:S2"/>
    <mergeCell ref="T2:U2"/>
    <mergeCell ref="F3:G3"/>
    <mergeCell ref="B4:C4"/>
    <mergeCell ref="F7:G7"/>
    <mergeCell ref="F8:G8"/>
    <mergeCell ref="B7:E7"/>
    <mergeCell ref="B8:E8"/>
  </mergeCells>
  <phoneticPr fontId="1"/>
  <pageMargins left="0.70866141732283472" right="0.70866141732283472" top="0.74803149606299213" bottom="0.74803149606299213" header="0.31496062992125984" footer="0.31496062992125984"/>
  <pageSetup paperSize="9"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01.小型乾燥機_試算シート</vt:lpstr>
      <vt:lpstr>02.中型乾燥機_試算シート</vt:lpstr>
      <vt:lpstr>'01.小型乾燥機_試算シート'!Print_Area</vt:lpstr>
      <vt:lpstr>'02.中型乾燥機_試算シート'!Print_Area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222 飯田 晃弘</cp:lastModifiedBy>
  <cp:lastPrinted>2019-09-12T23:44:42Z</cp:lastPrinted>
  <dcterms:created xsi:type="dcterms:W3CDTF">2019-06-12T01:14:22Z</dcterms:created>
  <dcterms:modified xsi:type="dcterms:W3CDTF">2020-09-07T07:43:40Z</dcterms:modified>
</cp:coreProperties>
</file>