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kayo\Desktop\B-DASHアナモックス\提出用\"/>
    </mc:Choice>
  </mc:AlternateContent>
  <bookViews>
    <workbookView xWindow="0" yWindow="0" windowWidth="16530" windowHeight="7350"/>
  </bookViews>
  <sheets>
    <sheet name="試算シート" sheetId="3" r:id="rId1"/>
  </sheets>
  <definedNames>
    <definedName name="_xlnm.Print_Area" localSheetId="0">試算シート!$A$1:$M$135</definedName>
  </definedNames>
  <calcPr calcId="162913"/>
</workbook>
</file>

<file path=xl/calcChain.xml><?xml version="1.0" encoding="utf-8"?>
<calcChain xmlns="http://schemas.openxmlformats.org/spreadsheetml/2006/main">
  <c r="H72" i="3" l="1"/>
  <c r="H71" i="3"/>
  <c r="H76" i="3" l="1"/>
  <c r="H73" i="3" l="1"/>
  <c r="H49" i="3"/>
  <c r="H47" i="3"/>
  <c r="H45" i="3"/>
  <c r="H48" i="3"/>
  <c r="D6" i="3" l="1"/>
  <c r="H54" i="3" l="1"/>
  <c r="H55" i="3" s="1"/>
  <c r="H85" i="3"/>
  <c r="H56" i="3"/>
  <c r="H57" i="3" s="1"/>
  <c r="H105" i="3"/>
  <c r="H131" i="3"/>
  <c r="H52" i="3"/>
  <c r="H29" i="3"/>
  <c r="H26" i="3"/>
  <c r="H40" i="3"/>
  <c r="H39" i="3"/>
  <c r="H28" i="3"/>
  <c r="H27" i="3"/>
  <c r="H24" i="3"/>
  <c r="H22" i="3"/>
  <c r="H15" i="3"/>
  <c r="H19" i="3" s="1"/>
  <c r="H13" i="3"/>
  <c r="H16" i="3"/>
  <c r="H20" i="3" s="1"/>
  <c r="H59" i="3"/>
  <c r="H58" i="3"/>
  <c r="H62" i="3" s="1"/>
  <c r="H60" i="3"/>
  <c r="H66" i="3" s="1"/>
  <c r="H61" i="3"/>
  <c r="H25" i="3" l="1"/>
  <c r="H111" i="3"/>
  <c r="H91" i="3"/>
  <c r="H36" i="3"/>
  <c r="H95" i="3"/>
  <c r="H115" i="3"/>
  <c r="H126" i="3"/>
  <c r="H68" i="3"/>
  <c r="H32" i="3"/>
  <c r="H113" i="3"/>
  <c r="H93" i="3"/>
  <c r="H34" i="3"/>
  <c r="H94" i="3"/>
  <c r="H114" i="3"/>
  <c r="H124" i="3"/>
  <c r="H64" i="3"/>
  <c r="H99" i="3"/>
  <c r="H110" i="3"/>
  <c r="H90" i="3"/>
  <c r="H30" i="3"/>
  <c r="H38" i="3" s="1"/>
  <c r="H112" i="3"/>
  <c r="H92" i="3"/>
  <c r="H23" i="3"/>
  <c r="H18" i="3"/>
  <c r="H17" i="3"/>
  <c r="H122" i="3"/>
  <c r="H121" i="3"/>
  <c r="H102" i="3"/>
  <c r="H125" i="3"/>
  <c r="H100" i="3"/>
  <c r="H123" i="3"/>
  <c r="H103" i="3"/>
  <c r="H101" i="3"/>
  <c r="H98" i="3"/>
  <c r="H50" i="3"/>
  <c r="H51" i="3"/>
  <c r="H53" i="3" l="1"/>
  <c r="H82" i="3" s="1"/>
  <c r="H41" i="3"/>
  <c r="H84" i="3"/>
  <c r="H21" i="3"/>
  <c r="H81" i="3" s="1"/>
  <c r="H127" i="3"/>
  <c r="H128" i="3" s="1"/>
  <c r="H104" i="3"/>
  <c r="H70" i="3"/>
  <c r="H42" i="3" l="1"/>
  <c r="H74" i="3"/>
  <c r="H116" i="3"/>
  <c r="H117" i="3" s="1"/>
  <c r="H96" i="3"/>
  <c r="H97" i="3" s="1"/>
  <c r="H106" i="3" s="1"/>
  <c r="H44" i="3" l="1"/>
  <c r="H77" i="3" s="1"/>
  <c r="H119" i="3"/>
  <c r="H118" i="3"/>
  <c r="H120" i="3" l="1"/>
  <c r="H86" i="3" l="1"/>
  <c r="H83" i="3" l="1"/>
  <c r="H130" i="3" l="1"/>
  <c r="H129" i="3"/>
  <c r="H132" i="3" l="1"/>
</calcChain>
</file>

<file path=xl/sharedStrings.xml><?xml version="1.0" encoding="utf-8"?>
<sst xmlns="http://schemas.openxmlformats.org/spreadsheetml/2006/main" count="463" uniqueCount="255">
  <si>
    <t>従来技術</t>
    <rPh sb="0" eb="2">
      <t>ジュウライ</t>
    </rPh>
    <rPh sb="2" eb="4">
      <t>ギジュツ</t>
    </rPh>
    <phoneticPr fontId="1"/>
  </si>
  <si>
    <t>合計</t>
    <rPh sb="0" eb="2">
      <t>ゴウケイ</t>
    </rPh>
    <phoneticPr fontId="1"/>
  </si>
  <si>
    <t>建設費年価</t>
    <rPh sb="0" eb="3">
      <t>ケンセツヒ</t>
    </rPh>
    <rPh sb="3" eb="4">
      <t>ネン</t>
    </rPh>
    <rPh sb="4" eb="5">
      <t>カ</t>
    </rPh>
    <phoneticPr fontId="1"/>
  </si>
  <si>
    <t>革新的技術</t>
    <rPh sb="0" eb="3">
      <t>カクシンテキ</t>
    </rPh>
    <rPh sb="3" eb="5">
      <t>ギジュツ</t>
    </rPh>
    <phoneticPr fontId="1"/>
  </si>
  <si>
    <t>電気設備</t>
    <rPh sb="0" eb="2">
      <t>デンキ</t>
    </rPh>
    <rPh sb="2" eb="4">
      <t>セツビ</t>
    </rPh>
    <phoneticPr fontId="1"/>
  </si>
  <si>
    <t>維持管理費合計</t>
    <rPh sb="0" eb="2">
      <t>イジ</t>
    </rPh>
    <rPh sb="2" eb="5">
      <t>カンリヒ</t>
    </rPh>
    <rPh sb="5" eb="7">
      <t>ゴウケイ</t>
    </rPh>
    <phoneticPr fontId="1"/>
  </si>
  <si>
    <t>建設費合計</t>
    <rPh sb="0" eb="3">
      <t>ケンセツヒ</t>
    </rPh>
    <rPh sb="3" eb="5">
      <t>ゴウケイ</t>
    </rPh>
    <phoneticPr fontId="1"/>
  </si>
  <si>
    <t>費用（百万円）</t>
    <rPh sb="0" eb="2">
      <t>ヒヨウ</t>
    </rPh>
    <rPh sb="3" eb="5">
      <t>ヒャクマン</t>
    </rPh>
    <rPh sb="5" eb="6">
      <t>エン</t>
    </rPh>
    <phoneticPr fontId="1"/>
  </si>
  <si>
    <t>備考</t>
    <rPh sb="0" eb="2">
      <t>ビコウ</t>
    </rPh>
    <phoneticPr fontId="1"/>
  </si>
  <si>
    <t>技術区分</t>
    <rPh sb="0" eb="2">
      <t>ギジュツ</t>
    </rPh>
    <rPh sb="2" eb="4">
      <t>クブン</t>
    </rPh>
    <phoneticPr fontId="1"/>
  </si>
  <si>
    <t>項目</t>
    <rPh sb="0" eb="2">
      <t>コウモク</t>
    </rPh>
    <phoneticPr fontId="1"/>
  </si>
  <si>
    <t>設備名称</t>
    <rPh sb="0" eb="2">
      <t>セツビ</t>
    </rPh>
    <rPh sb="2" eb="4">
      <t>メイショウ</t>
    </rPh>
    <phoneticPr fontId="1"/>
  </si>
  <si>
    <t>費用</t>
    <rPh sb="0" eb="2">
      <t>ヒヨウ</t>
    </rPh>
    <phoneticPr fontId="1"/>
  </si>
  <si>
    <t>単位</t>
    <rPh sb="0" eb="2">
      <t>タンイ</t>
    </rPh>
    <phoneticPr fontId="1"/>
  </si>
  <si>
    <t>エネルギー削減効果</t>
    <rPh sb="5" eb="7">
      <t>サクゲン</t>
    </rPh>
    <rPh sb="7" eb="9">
      <t>コウカ</t>
    </rPh>
    <phoneticPr fontId="1"/>
  </si>
  <si>
    <t>温室効果ガス削減効果</t>
    <rPh sb="0" eb="2">
      <t>オンシツ</t>
    </rPh>
    <rPh sb="2" eb="4">
      <t>コウカ</t>
    </rPh>
    <rPh sb="6" eb="8">
      <t>サクゲン</t>
    </rPh>
    <rPh sb="8" eb="10">
      <t>コウカ</t>
    </rPh>
    <phoneticPr fontId="1"/>
  </si>
  <si>
    <t>GHG排出量</t>
    <rPh sb="3" eb="6">
      <t>ハイシュツリョウ</t>
    </rPh>
    <phoneticPr fontId="1"/>
  </si>
  <si>
    <t>百万円</t>
    <rPh sb="0" eb="2">
      <t>ヒャクマン</t>
    </rPh>
    <rPh sb="2" eb="3">
      <t>エン</t>
    </rPh>
    <phoneticPr fontId="1"/>
  </si>
  <si>
    <t>費用関数</t>
    <rPh sb="0" eb="2">
      <t>ヒヨウ</t>
    </rPh>
    <rPh sb="2" eb="4">
      <t>カンスウ</t>
    </rPh>
    <phoneticPr fontId="1"/>
  </si>
  <si>
    <t>ー</t>
    <phoneticPr fontId="1"/>
  </si>
  <si>
    <t>備考</t>
    <phoneticPr fontId="1"/>
  </si>
  <si>
    <t>費用関数</t>
    <phoneticPr fontId="1"/>
  </si>
  <si>
    <t>①</t>
    <phoneticPr fontId="1"/>
  </si>
  <si>
    <r>
      <t>t-CO</t>
    </r>
    <r>
      <rPr>
        <vertAlign val="subscript"/>
        <sz val="11"/>
        <color theme="1"/>
        <rFont val="游ゴシック"/>
        <family val="3"/>
        <charset val="128"/>
        <scheme val="minor"/>
      </rPr>
      <t>2</t>
    </r>
    <r>
      <rPr>
        <sz val="11"/>
        <color theme="1"/>
        <rFont val="游ゴシック"/>
        <family val="2"/>
        <charset val="128"/>
        <scheme val="minor"/>
      </rPr>
      <t>/年</t>
    </r>
    <rPh sb="6" eb="7">
      <t>ネン</t>
    </rPh>
    <phoneticPr fontId="1"/>
  </si>
  <si>
    <t>電力</t>
    <rPh sb="0" eb="2">
      <t>デンリョク</t>
    </rPh>
    <phoneticPr fontId="1"/>
  </si>
  <si>
    <t>④：①＋②＋③</t>
    <phoneticPr fontId="1"/>
  </si>
  <si>
    <t>⑬</t>
    <phoneticPr fontId="1"/>
  </si>
  <si>
    <t>⑭</t>
    <phoneticPr fontId="1"/>
  </si>
  <si>
    <t>⑮</t>
    <phoneticPr fontId="1"/>
  </si>
  <si>
    <t>⑰</t>
    <phoneticPr fontId="1"/>
  </si>
  <si>
    <t>備考</t>
    <rPh sb="0" eb="2">
      <t>ビコウ</t>
    </rPh>
    <phoneticPr fontId="1"/>
  </si>
  <si>
    <t>％</t>
    <phoneticPr fontId="1"/>
  </si>
  <si>
    <t>ー</t>
    <phoneticPr fontId="1"/>
  </si>
  <si>
    <t>(1-b/a)×100</t>
    <phoneticPr fontId="1"/>
  </si>
  <si>
    <t>総費用（年価換算値）削減効果</t>
    <rPh sb="0" eb="3">
      <t>ソウヒヨウ</t>
    </rPh>
    <rPh sb="4" eb="6">
      <t>ネンカ</t>
    </rPh>
    <rPh sb="6" eb="8">
      <t>カンサン</t>
    </rPh>
    <rPh sb="8" eb="9">
      <t>チ</t>
    </rPh>
    <rPh sb="10" eb="12">
      <t>サクゲン</t>
    </rPh>
    <rPh sb="12" eb="14">
      <t>コウカ</t>
    </rPh>
    <phoneticPr fontId="1"/>
  </si>
  <si>
    <t>諸元値一覧</t>
    <rPh sb="0" eb="2">
      <t>ショゲン</t>
    </rPh>
    <rPh sb="2" eb="3">
      <t>チ</t>
    </rPh>
    <rPh sb="3" eb="5">
      <t>イチラン</t>
    </rPh>
    <phoneticPr fontId="1"/>
  </si>
  <si>
    <t>都市ガス</t>
    <rPh sb="0" eb="2">
      <t>トシ</t>
    </rPh>
    <phoneticPr fontId="1"/>
  </si>
  <si>
    <t>消化ガス</t>
    <rPh sb="0" eb="2">
      <t>ショウカ</t>
    </rPh>
    <phoneticPr fontId="1"/>
  </si>
  <si>
    <t>エネルギー換算係数</t>
    <rPh sb="5" eb="7">
      <t>カンサン</t>
    </rPh>
    <rPh sb="7" eb="9">
      <t>ケイスウ</t>
    </rPh>
    <phoneticPr fontId="1"/>
  </si>
  <si>
    <t>温室効果ガス換算係数</t>
    <rPh sb="0" eb="2">
      <t>オンシツ</t>
    </rPh>
    <rPh sb="2" eb="4">
      <t>コウカ</t>
    </rPh>
    <rPh sb="6" eb="8">
      <t>カンサン</t>
    </rPh>
    <rPh sb="8" eb="10">
      <t>ケイスウ</t>
    </rPh>
    <phoneticPr fontId="1"/>
  </si>
  <si>
    <t>機械設備</t>
    <rPh sb="0" eb="2">
      <t>キカイ</t>
    </rPh>
    <rPh sb="2" eb="4">
      <t>セツビ</t>
    </rPh>
    <phoneticPr fontId="1"/>
  </si>
  <si>
    <r>
      <t>MJ/Nm</t>
    </r>
    <r>
      <rPr>
        <vertAlign val="superscript"/>
        <sz val="11"/>
        <color theme="1"/>
        <rFont val="游ゴシック"/>
        <family val="3"/>
        <charset val="128"/>
        <scheme val="minor"/>
      </rPr>
      <t>3</t>
    </r>
    <phoneticPr fontId="1"/>
  </si>
  <si>
    <r>
      <t>MJ/Nm</t>
    </r>
    <r>
      <rPr>
        <vertAlign val="superscript"/>
        <sz val="11"/>
        <color theme="1"/>
        <rFont val="游ゴシック"/>
        <family val="3"/>
        <charset val="128"/>
        <scheme val="minor"/>
      </rPr>
      <t>3</t>
    </r>
    <phoneticPr fontId="1"/>
  </si>
  <si>
    <t>電力単価(円/kWh)</t>
    <rPh sb="0" eb="2">
      <t>デンリョク</t>
    </rPh>
    <rPh sb="2" eb="4">
      <t>タンカ</t>
    </rPh>
    <rPh sb="5" eb="6">
      <t>エン</t>
    </rPh>
    <phoneticPr fontId="1"/>
  </si>
  <si>
    <t>総費用(年価換算値)</t>
    <rPh sb="0" eb="3">
      <t>ソウヒヨウ</t>
    </rPh>
    <rPh sb="4" eb="5">
      <t>トシ</t>
    </rPh>
    <rPh sb="5" eb="6">
      <t>アタイ</t>
    </rPh>
    <rPh sb="6" eb="8">
      <t>カンサン</t>
    </rPh>
    <rPh sb="8" eb="9">
      <t>アタイ</t>
    </rPh>
    <phoneticPr fontId="1"/>
  </si>
  <si>
    <r>
      <t>t-CO</t>
    </r>
    <r>
      <rPr>
        <vertAlign val="subscript"/>
        <sz val="11"/>
        <rFont val="游ゴシック"/>
        <family val="3"/>
        <charset val="128"/>
        <scheme val="minor"/>
      </rPr>
      <t>2</t>
    </r>
    <r>
      <rPr>
        <sz val="11"/>
        <rFont val="游ゴシック"/>
        <family val="3"/>
        <charset val="128"/>
        <scheme val="minor"/>
      </rPr>
      <t>/年</t>
    </r>
    <rPh sb="6" eb="7">
      <t>ネン</t>
    </rPh>
    <phoneticPr fontId="1"/>
  </si>
  <si>
    <t>←計算参照セル修正しました。</t>
    <rPh sb="1" eb="3">
      <t>ケイサン</t>
    </rPh>
    <rPh sb="3" eb="5">
      <t>サンショウ</t>
    </rPh>
    <rPh sb="7" eb="9">
      <t>シュウセイ</t>
    </rPh>
    <phoneticPr fontId="1"/>
  </si>
  <si>
    <r>
      <t>kg</t>
    </r>
    <r>
      <rPr>
        <sz val="11"/>
        <rFont val="游ゴシック"/>
        <family val="3"/>
        <charset val="128"/>
        <scheme val="minor"/>
      </rPr>
      <t>-CO</t>
    </r>
    <r>
      <rPr>
        <vertAlign val="subscript"/>
        <sz val="11"/>
        <rFont val="游ゴシック"/>
        <family val="3"/>
        <charset val="128"/>
        <scheme val="minor"/>
      </rPr>
      <t>2</t>
    </r>
    <r>
      <rPr>
        <sz val="11"/>
        <rFont val="游ゴシック"/>
        <family val="3"/>
        <charset val="128"/>
        <scheme val="minor"/>
      </rPr>
      <t>/m</t>
    </r>
    <r>
      <rPr>
        <vertAlign val="superscript"/>
        <sz val="11"/>
        <rFont val="游ゴシック"/>
        <family val="3"/>
        <charset val="128"/>
        <scheme val="minor"/>
      </rPr>
      <t>3</t>
    </r>
    <phoneticPr fontId="1"/>
  </si>
  <si>
    <r>
      <t>kg-CO</t>
    </r>
    <r>
      <rPr>
        <vertAlign val="subscript"/>
        <sz val="11"/>
        <rFont val="游ゴシック"/>
        <family val="3"/>
        <charset val="128"/>
        <scheme val="minor"/>
      </rPr>
      <t>2</t>
    </r>
    <r>
      <rPr>
        <sz val="11"/>
        <rFont val="游ゴシック"/>
        <family val="3"/>
        <charset val="128"/>
        <scheme val="minor"/>
      </rPr>
      <t>/m</t>
    </r>
    <r>
      <rPr>
        <vertAlign val="superscript"/>
        <sz val="11"/>
        <rFont val="游ゴシック"/>
        <family val="3"/>
        <charset val="128"/>
        <scheme val="minor"/>
      </rPr>
      <t>3</t>
    </r>
    <phoneticPr fontId="1"/>
  </si>
  <si>
    <t>機械設備費</t>
    <rPh sb="0" eb="2">
      <t>キカイ</t>
    </rPh>
    <rPh sb="2" eb="4">
      <t>セツビ</t>
    </rPh>
    <rPh sb="4" eb="5">
      <t>ヒ</t>
    </rPh>
    <phoneticPr fontId="1"/>
  </si>
  <si>
    <t>電気設備費</t>
    <rPh sb="0" eb="2">
      <t>デンキ</t>
    </rPh>
    <rPh sb="2" eb="4">
      <t>セツビ</t>
    </rPh>
    <rPh sb="4" eb="5">
      <t>ヒ</t>
    </rPh>
    <phoneticPr fontId="1"/>
  </si>
  <si>
    <t>耐用年数(年)</t>
    <rPh sb="0" eb="2">
      <t>タイヨウ</t>
    </rPh>
    <rPh sb="2" eb="4">
      <t>ネンスウ</t>
    </rPh>
    <rPh sb="5" eb="6">
      <t>ネン</t>
    </rPh>
    <phoneticPr fontId="1"/>
  </si>
  <si>
    <t>土木建築設備</t>
    <rPh sb="0" eb="2">
      <t>ドボク</t>
    </rPh>
    <rPh sb="2" eb="4">
      <t>ケンチク</t>
    </rPh>
    <rPh sb="4" eb="6">
      <t>セツビ</t>
    </rPh>
    <phoneticPr fontId="1"/>
  </si>
  <si>
    <t>解体・撤去費</t>
    <rPh sb="0" eb="2">
      <t>カイタイ</t>
    </rPh>
    <rPh sb="3" eb="5">
      <t>テッキョ</t>
    </rPh>
    <rPh sb="5" eb="6">
      <t>ヒ</t>
    </rPh>
    <phoneticPr fontId="1"/>
  </si>
  <si>
    <t>総費用（年価換算値)</t>
    <rPh sb="0" eb="3">
      <t>ソウヒヨウ</t>
    </rPh>
    <rPh sb="4" eb="6">
      <t>ネンカ</t>
    </rPh>
    <rPh sb="6" eb="9">
      <t>カンサンチ</t>
    </rPh>
    <phoneticPr fontId="1"/>
  </si>
  <si>
    <t>高分子凝集剤単価(円/kg)</t>
    <rPh sb="0" eb="3">
      <t>コウブンシ</t>
    </rPh>
    <rPh sb="3" eb="5">
      <t>ギョウシュウ</t>
    </rPh>
    <rPh sb="5" eb="6">
      <t>ザイ</t>
    </rPh>
    <rPh sb="6" eb="8">
      <t>タンカ</t>
    </rPh>
    <phoneticPr fontId="1"/>
  </si>
  <si>
    <t>苛性ソーダ(24%)単価(円/kg)</t>
    <rPh sb="0" eb="2">
      <t>カセイ</t>
    </rPh>
    <phoneticPr fontId="1"/>
  </si>
  <si>
    <t>※バイオソリッド利活用基本計画策定マニュアルに基づき設定</t>
    <rPh sb="23" eb="24">
      <t>モト</t>
    </rPh>
    <rPh sb="26" eb="28">
      <t>セッテイ</t>
    </rPh>
    <phoneticPr fontId="1"/>
  </si>
  <si>
    <t>従来技術</t>
    <phoneticPr fontId="1"/>
  </si>
  <si>
    <t>費用削減効果</t>
    <rPh sb="0" eb="2">
      <t>ヒヨウ</t>
    </rPh>
    <rPh sb="2" eb="4">
      <t>サクゲン</t>
    </rPh>
    <rPh sb="4" eb="6">
      <t>コウカ</t>
    </rPh>
    <phoneticPr fontId="1"/>
  </si>
  <si>
    <t>維持管理費</t>
    <rPh sb="0" eb="2">
      <t>イジ</t>
    </rPh>
    <rPh sb="2" eb="4">
      <t>カンリ</t>
    </rPh>
    <phoneticPr fontId="1"/>
  </si>
  <si>
    <t>革新的技術による建設費削減効果</t>
    <rPh sb="0" eb="3">
      <t>カクシンテキ</t>
    </rPh>
    <rPh sb="3" eb="5">
      <t>ギジュツ</t>
    </rPh>
    <rPh sb="8" eb="11">
      <t>ケンセツヒ</t>
    </rPh>
    <rPh sb="11" eb="13">
      <t>サクゲン</t>
    </rPh>
    <rPh sb="13" eb="15">
      <t>コウカ</t>
    </rPh>
    <phoneticPr fontId="1"/>
  </si>
  <si>
    <t>革新的技術による維持管理費削減効果</t>
    <rPh sb="0" eb="3">
      <t>カクシンテキ</t>
    </rPh>
    <rPh sb="3" eb="5">
      <t>ギジュツ</t>
    </rPh>
    <rPh sb="8" eb="10">
      <t>イジ</t>
    </rPh>
    <rPh sb="10" eb="13">
      <t>カンリヒ</t>
    </rPh>
    <rPh sb="13" eb="15">
      <t>サクゲン</t>
    </rPh>
    <rPh sb="15" eb="17">
      <t>コウカ</t>
    </rPh>
    <phoneticPr fontId="1"/>
  </si>
  <si>
    <t>⑫</t>
    <phoneticPr fontId="1"/>
  </si>
  <si>
    <t>高分子凝集剤</t>
    <rPh sb="0" eb="3">
      <t>コウブンシ</t>
    </rPh>
    <rPh sb="3" eb="5">
      <t>ギョウシュウ</t>
    </rPh>
    <rPh sb="5" eb="6">
      <t>ザイ</t>
    </rPh>
    <phoneticPr fontId="1"/>
  </si>
  <si>
    <t>GJ/年</t>
    <rPh sb="3" eb="4">
      <t>ネン</t>
    </rPh>
    <phoneticPr fontId="1"/>
  </si>
  <si>
    <t>エネルギー消費量原単位</t>
    <rPh sb="5" eb="8">
      <t>ショウヒリョウ</t>
    </rPh>
    <rPh sb="8" eb="11">
      <t>ゲンタンイ</t>
    </rPh>
    <phoneticPr fontId="1"/>
  </si>
  <si>
    <t>電気</t>
    <rPh sb="0" eb="2">
      <t>デンキ</t>
    </rPh>
    <phoneticPr fontId="1"/>
  </si>
  <si>
    <t>(MJ/kWh)</t>
    <phoneticPr fontId="1"/>
  </si>
  <si>
    <t>エネルギー消費量合計</t>
    <rPh sb="5" eb="8">
      <t>ショウヒリョウ</t>
    </rPh>
    <rPh sb="8" eb="10">
      <t>ゴウケイ</t>
    </rPh>
    <phoneticPr fontId="1"/>
  </si>
  <si>
    <t>％</t>
    <phoneticPr fontId="1"/>
  </si>
  <si>
    <t>共用段階時合計</t>
    <rPh sb="0" eb="2">
      <t>キョウヨウ</t>
    </rPh>
    <rPh sb="2" eb="4">
      <t>ダンカイ</t>
    </rPh>
    <rPh sb="4" eb="5">
      <t>ジ</t>
    </rPh>
    <rPh sb="5" eb="7">
      <t>ゴウケイ</t>
    </rPh>
    <phoneticPr fontId="1"/>
  </si>
  <si>
    <r>
      <t>Y=共用段階時合計(t-CO</t>
    </r>
    <r>
      <rPr>
        <vertAlign val="subscript"/>
        <sz val="11"/>
        <rFont val="游ゴシック"/>
        <family val="3"/>
        <charset val="128"/>
        <scheme val="minor"/>
      </rPr>
      <t>2</t>
    </r>
    <r>
      <rPr>
        <sz val="11"/>
        <rFont val="游ゴシック"/>
        <family val="3"/>
        <charset val="128"/>
        <scheme val="minor"/>
      </rPr>
      <t>/年)/80.2×19.3</t>
    </r>
    <phoneticPr fontId="1"/>
  </si>
  <si>
    <r>
      <t>Y=共用段階時合計(t-CO</t>
    </r>
    <r>
      <rPr>
        <vertAlign val="subscript"/>
        <sz val="11"/>
        <rFont val="游ゴシック"/>
        <family val="3"/>
        <charset val="128"/>
        <scheme val="minor"/>
      </rPr>
      <t>2</t>
    </r>
    <r>
      <rPr>
        <sz val="11"/>
        <rFont val="游ゴシック"/>
        <family val="3"/>
        <charset val="128"/>
        <scheme val="minor"/>
      </rPr>
      <t>/年)/80.2×0.5</t>
    </r>
    <phoneticPr fontId="1"/>
  </si>
  <si>
    <r>
      <t>処理水量(嫌気性消化汚泥脱水ろ液)(ｍ</t>
    </r>
    <r>
      <rPr>
        <vertAlign val="superscript"/>
        <sz val="11"/>
        <color theme="1"/>
        <rFont val="游ゴシック"/>
        <family val="3"/>
        <charset val="128"/>
        <scheme val="minor"/>
      </rPr>
      <t>3</t>
    </r>
    <r>
      <rPr>
        <sz val="11"/>
        <color theme="1"/>
        <rFont val="游ゴシック"/>
        <family val="2"/>
        <charset val="128"/>
        <scheme val="minor"/>
      </rPr>
      <t>/日)</t>
    </r>
    <rPh sb="0" eb="2">
      <t>ショリ</t>
    </rPh>
    <rPh sb="2" eb="4">
      <t>スイリョウ</t>
    </rPh>
    <rPh sb="5" eb="8">
      <t>ケンキセイ</t>
    </rPh>
    <rPh sb="8" eb="10">
      <t>ショウカ</t>
    </rPh>
    <rPh sb="10" eb="12">
      <t>オデイ</t>
    </rPh>
    <rPh sb="12" eb="14">
      <t>ダッスイ</t>
    </rPh>
    <rPh sb="15" eb="16">
      <t>エキ</t>
    </rPh>
    <rPh sb="21" eb="22">
      <t>ニチ</t>
    </rPh>
    <phoneticPr fontId="1"/>
  </si>
  <si>
    <t>窒素除去率(実証試験ベース、%)</t>
    <rPh sb="0" eb="2">
      <t>チッソ</t>
    </rPh>
    <rPh sb="2" eb="4">
      <t>ジョキョ</t>
    </rPh>
    <rPh sb="4" eb="5">
      <t>リツ</t>
    </rPh>
    <rPh sb="6" eb="8">
      <t>ジッショウ</t>
    </rPh>
    <rPh sb="8" eb="10">
      <t>シケン</t>
    </rPh>
    <phoneticPr fontId="1"/>
  </si>
  <si>
    <t>アナモックスプロセス</t>
    <phoneticPr fontId="1"/>
  </si>
  <si>
    <t>土木・建築施設費</t>
    <rPh sb="0" eb="2">
      <t>ドボク</t>
    </rPh>
    <rPh sb="3" eb="5">
      <t>ケンチク</t>
    </rPh>
    <rPh sb="5" eb="8">
      <t>シセツヒ</t>
    </rPh>
    <phoneticPr fontId="1"/>
  </si>
  <si>
    <t>窒素除去量：X(kg-N/日)</t>
    <rPh sb="0" eb="2">
      <t>チッソ</t>
    </rPh>
    <rPh sb="2" eb="4">
      <t>ジョキョ</t>
    </rPh>
    <rPh sb="4" eb="5">
      <t>リョウ</t>
    </rPh>
    <rPh sb="13" eb="14">
      <t>ニチ</t>
    </rPh>
    <phoneticPr fontId="1"/>
  </si>
  <si>
    <t>※下水道事業の手引きに基づき設定</t>
    <rPh sb="1" eb="4">
      <t>ゲスイドウ</t>
    </rPh>
    <rPh sb="4" eb="6">
      <t>ジギョウ</t>
    </rPh>
    <rPh sb="7" eb="9">
      <t>テビ</t>
    </rPh>
    <rPh sb="11" eb="12">
      <t>モト</t>
    </rPh>
    <rPh sb="14" eb="16">
      <t>セッテイ</t>
    </rPh>
    <phoneticPr fontId="1"/>
  </si>
  <si>
    <t>千円/年</t>
    <rPh sb="0" eb="1">
      <t>セン</t>
    </rPh>
    <rPh sb="1" eb="2">
      <t>エン</t>
    </rPh>
    <rPh sb="3" eb="4">
      <t>ネン</t>
    </rPh>
    <phoneticPr fontId="1"/>
  </si>
  <si>
    <t>土木・建築施設費年価</t>
    <rPh sb="0" eb="2">
      <t>ドボク</t>
    </rPh>
    <rPh sb="3" eb="5">
      <t>ケンチク</t>
    </rPh>
    <rPh sb="5" eb="8">
      <t>シセツヒ</t>
    </rPh>
    <rPh sb="8" eb="9">
      <t>ネン</t>
    </rPh>
    <rPh sb="9" eb="10">
      <t>カ</t>
    </rPh>
    <phoneticPr fontId="1"/>
  </si>
  <si>
    <r>
      <t>Y=工種別建設費×i(1+i)n/{(1+i)n-1}×10</t>
    </r>
    <r>
      <rPr>
        <vertAlign val="superscript"/>
        <sz val="11"/>
        <color theme="1"/>
        <rFont val="游ゴシック"/>
        <family val="3"/>
        <charset val="128"/>
        <scheme val="minor"/>
      </rPr>
      <t>3</t>
    </r>
    <r>
      <rPr>
        <sz val="11"/>
        <color theme="1"/>
        <rFont val="游ゴシック"/>
        <family val="3"/>
        <charset val="128"/>
        <scheme val="minor"/>
      </rPr>
      <t xml:space="preserve">
= 1.6883x + 72.741
</t>
    </r>
    <phoneticPr fontId="1"/>
  </si>
  <si>
    <t>機械設備費年価</t>
    <rPh sb="0" eb="2">
      <t>キカイ</t>
    </rPh>
    <rPh sb="2" eb="4">
      <t>セツビ</t>
    </rPh>
    <rPh sb="4" eb="5">
      <t>ヒ</t>
    </rPh>
    <phoneticPr fontId="1"/>
  </si>
  <si>
    <t>電気設備費年価</t>
    <rPh sb="0" eb="2">
      <t>デンキ</t>
    </rPh>
    <rPh sb="2" eb="4">
      <t>セツビ</t>
    </rPh>
    <rPh sb="4" eb="5">
      <t>ヒ</t>
    </rPh>
    <phoneticPr fontId="1"/>
  </si>
  <si>
    <t>千円/年</t>
    <phoneticPr fontId="1"/>
  </si>
  <si>
    <t>ー</t>
  </si>
  <si>
    <t>維持管理費(電力)</t>
    <rPh sb="0" eb="2">
      <t>イジ</t>
    </rPh>
    <rPh sb="2" eb="5">
      <t>カンリヒ</t>
    </rPh>
    <rPh sb="6" eb="8">
      <t>デンリョク</t>
    </rPh>
    <phoneticPr fontId="1"/>
  </si>
  <si>
    <t>kWh/年</t>
    <rPh sb="4" eb="5">
      <t>ネン</t>
    </rPh>
    <phoneticPr fontId="1"/>
  </si>
  <si>
    <t>維持管理費(水道)</t>
    <rPh sb="0" eb="2">
      <t>イジ</t>
    </rPh>
    <rPh sb="2" eb="5">
      <t>カンリヒ</t>
    </rPh>
    <rPh sb="6" eb="8">
      <t>スイドウ</t>
    </rPh>
    <phoneticPr fontId="1"/>
  </si>
  <si>
    <t>Y = 1375.2X + 101361</t>
    <phoneticPr fontId="1"/>
  </si>
  <si>
    <t>Y = 0.8613X - 0.113</t>
    <phoneticPr fontId="1"/>
  </si>
  <si>
    <r>
      <t>m</t>
    </r>
    <r>
      <rPr>
        <vertAlign val="superscript"/>
        <sz val="11"/>
        <color theme="1"/>
        <rFont val="游ゴシック"/>
        <family val="3"/>
        <charset val="128"/>
        <scheme val="minor"/>
      </rPr>
      <t>3</t>
    </r>
    <r>
      <rPr>
        <sz val="11"/>
        <color theme="1"/>
        <rFont val="游ゴシック"/>
        <family val="2"/>
        <charset val="128"/>
        <scheme val="minor"/>
      </rPr>
      <t>/年</t>
    </r>
    <rPh sb="3" eb="4">
      <t>ネン</t>
    </rPh>
    <phoneticPr fontId="1"/>
  </si>
  <si>
    <r>
      <t>水道単価(円/m</t>
    </r>
    <r>
      <rPr>
        <vertAlign val="superscript"/>
        <sz val="11"/>
        <rFont val="游ゴシック"/>
        <family val="3"/>
        <charset val="128"/>
        <scheme val="minor"/>
      </rPr>
      <t>3</t>
    </r>
    <r>
      <rPr>
        <sz val="11"/>
        <rFont val="游ゴシック"/>
        <family val="3"/>
        <charset val="128"/>
        <scheme val="minor"/>
      </rPr>
      <t>)</t>
    </r>
    <rPh sb="0" eb="2">
      <t>スイドウ</t>
    </rPh>
    <rPh sb="2" eb="4">
      <t>タンカ</t>
    </rPh>
    <rPh sb="5" eb="6">
      <t>エン</t>
    </rPh>
    <phoneticPr fontId="1"/>
  </si>
  <si>
    <t>ポリ硫酸鉄単価(円/kg)</t>
    <rPh sb="2" eb="4">
      <t>リュウサン</t>
    </rPh>
    <rPh sb="4" eb="5">
      <t>テツ</t>
    </rPh>
    <phoneticPr fontId="1"/>
  </si>
  <si>
    <t>硫酸(50%)単価(円/kg)</t>
    <rPh sb="0" eb="2">
      <t>リュウサン</t>
    </rPh>
    <phoneticPr fontId="1"/>
  </si>
  <si>
    <t>高分子(kg/年)</t>
    <rPh sb="0" eb="3">
      <t>コウブンシ</t>
    </rPh>
    <phoneticPr fontId="1"/>
  </si>
  <si>
    <t>ポリ硫酸鉄(kg/年)</t>
    <rPh sb="2" eb="4">
      <t>リュウサン</t>
    </rPh>
    <rPh sb="4" eb="5">
      <t>テツ</t>
    </rPh>
    <phoneticPr fontId="1"/>
  </si>
  <si>
    <t>苛性(kg/年)</t>
    <rPh sb="0" eb="2">
      <t>カセイ</t>
    </rPh>
    <phoneticPr fontId="1"/>
  </si>
  <si>
    <t>硫酸(kg/年)</t>
    <rPh sb="0" eb="2">
      <t>リュウサン</t>
    </rPh>
    <phoneticPr fontId="1"/>
  </si>
  <si>
    <t>Y= 645.63X - 8.6924</t>
    <phoneticPr fontId="1"/>
  </si>
  <si>
    <t>Y= 0.8613X- 0.113</t>
    <phoneticPr fontId="1"/>
  </si>
  <si>
    <r>
      <t>Y＝電力(kWh/年)×単価（円/kW)×10</t>
    </r>
    <r>
      <rPr>
        <vertAlign val="superscript"/>
        <sz val="11"/>
        <color theme="1"/>
        <rFont val="游ゴシック"/>
        <family val="3"/>
        <charset val="128"/>
        <scheme val="minor"/>
      </rPr>
      <t>-3</t>
    </r>
    <rPh sb="2" eb="4">
      <t>デンリョク</t>
    </rPh>
    <rPh sb="9" eb="10">
      <t>ネン</t>
    </rPh>
    <rPh sb="12" eb="14">
      <t>タンカ</t>
    </rPh>
    <rPh sb="15" eb="16">
      <t>エン</t>
    </rPh>
    <phoneticPr fontId="1"/>
  </si>
  <si>
    <r>
      <t>Y＝水道(m</t>
    </r>
    <r>
      <rPr>
        <vertAlign val="superscript"/>
        <sz val="11"/>
        <color theme="1"/>
        <rFont val="游ゴシック"/>
        <family val="3"/>
        <charset val="128"/>
        <scheme val="minor"/>
      </rPr>
      <t>3</t>
    </r>
    <r>
      <rPr>
        <sz val="11"/>
        <color theme="1"/>
        <rFont val="游ゴシック"/>
        <family val="2"/>
        <charset val="128"/>
        <scheme val="minor"/>
      </rPr>
      <t>/年)×単価（円/m</t>
    </r>
    <r>
      <rPr>
        <vertAlign val="superscript"/>
        <sz val="11"/>
        <color theme="1"/>
        <rFont val="游ゴシック"/>
        <family val="3"/>
        <charset val="128"/>
        <scheme val="minor"/>
      </rPr>
      <t>3</t>
    </r>
    <r>
      <rPr>
        <sz val="11"/>
        <color theme="1"/>
        <rFont val="游ゴシック"/>
        <family val="2"/>
        <charset val="128"/>
        <scheme val="minor"/>
      </rPr>
      <t>)×10</t>
    </r>
    <r>
      <rPr>
        <vertAlign val="superscript"/>
        <sz val="11"/>
        <color theme="1"/>
        <rFont val="游ゴシック"/>
        <family val="3"/>
        <charset val="128"/>
        <scheme val="minor"/>
      </rPr>
      <t>-3</t>
    </r>
    <rPh sb="2" eb="4">
      <t>スイドウ</t>
    </rPh>
    <rPh sb="8" eb="9">
      <t>ネン</t>
    </rPh>
    <rPh sb="11" eb="13">
      <t>タンカ</t>
    </rPh>
    <rPh sb="14" eb="15">
      <t>エン</t>
    </rPh>
    <phoneticPr fontId="1"/>
  </si>
  <si>
    <t>Y= 3840.8X- 120.48</t>
    <phoneticPr fontId="1"/>
  </si>
  <si>
    <t>Y= 102.32X + 14.342</t>
    <phoneticPr fontId="1"/>
  </si>
  <si>
    <t>維持管理費(薬品)</t>
    <phoneticPr fontId="1"/>
  </si>
  <si>
    <t>ポリ硫酸鉄
(千円/年)</t>
    <rPh sb="2" eb="4">
      <t>リュウサン</t>
    </rPh>
    <rPh sb="4" eb="5">
      <t>テツ</t>
    </rPh>
    <rPh sb="7" eb="8">
      <t>セン</t>
    </rPh>
    <phoneticPr fontId="1"/>
  </si>
  <si>
    <t>高分子
(千円/年)</t>
    <rPh sb="0" eb="3">
      <t>コウブンシ</t>
    </rPh>
    <rPh sb="5" eb="6">
      <t>セン</t>
    </rPh>
    <phoneticPr fontId="1"/>
  </si>
  <si>
    <t>苛性
(千円/年)</t>
    <rPh sb="0" eb="2">
      <t>カセイ</t>
    </rPh>
    <rPh sb="4" eb="5">
      <t>セン</t>
    </rPh>
    <phoneticPr fontId="1"/>
  </si>
  <si>
    <t>硫酸
(千円/年)</t>
    <rPh sb="0" eb="2">
      <t>リュウサン</t>
    </rPh>
    <rPh sb="4" eb="5">
      <t>セン</t>
    </rPh>
    <phoneticPr fontId="1"/>
  </si>
  <si>
    <r>
      <t>Y＝ポリ硫酸鉄(kg/年)×単価（円/kg)×10</t>
    </r>
    <r>
      <rPr>
        <vertAlign val="superscript"/>
        <sz val="11"/>
        <color theme="1"/>
        <rFont val="游ゴシック"/>
        <family val="3"/>
        <charset val="128"/>
        <scheme val="minor"/>
      </rPr>
      <t>-3</t>
    </r>
    <rPh sb="4" eb="6">
      <t>リュウサン</t>
    </rPh>
    <rPh sb="6" eb="7">
      <t>テツ</t>
    </rPh>
    <rPh sb="11" eb="12">
      <t>ネン</t>
    </rPh>
    <rPh sb="14" eb="16">
      <t>タンカ</t>
    </rPh>
    <rPh sb="17" eb="18">
      <t>エン</t>
    </rPh>
    <phoneticPr fontId="1"/>
  </si>
  <si>
    <r>
      <t>Y＝高分子(kg/年)×単価（円/kg)×10</t>
    </r>
    <r>
      <rPr>
        <vertAlign val="superscript"/>
        <sz val="11"/>
        <color theme="1"/>
        <rFont val="游ゴシック"/>
        <family val="3"/>
        <charset val="128"/>
        <scheme val="minor"/>
      </rPr>
      <t>-3</t>
    </r>
    <rPh sb="2" eb="5">
      <t>コウブンシ</t>
    </rPh>
    <rPh sb="9" eb="10">
      <t>ネン</t>
    </rPh>
    <rPh sb="12" eb="14">
      <t>タンカ</t>
    </rPh>
    <rPh sb="15" eb="16">
      <t>エン</t>
    </rPh>
    <phoneticPr fontId="1"/>
  </si>
  <si>
    <r>
      <t>Y＝苛性ソーダ(kg/年)×単価（円/kg)×10</t>
    </r>
    <r>
      <rPr>
        <vertAlign val="superscript"/>
        <sz val="11"/>
        <color theme="1"/>
        <rFont val="游ゴシック"/>
        <family val="3"/>
        <charset val="128"/>
        <scheme val="minor"/>
      </rPr>
      <t>-3</t>
    </r>
    <rPh sb="2" eb="4">
      <t>カセイ</t>
    </rPh>
    <rPh sb="11" eb="12">
      <t>ネン</t>
    </rPh>
    <rPh sb="14" eb="16">
      <t>タンカ</t>
    </rPh>
    <rPh sb="17" eb="18">
      <t>エン</t>
    </rPh>
    <phoneticPr fontId="1"/>
  </si>
  <si>
    <r>
      <t>Y＝硫酸(kg/年)×単価（円/kg)×10</t>
    </r>
    <r>
      <rPr>
        <vertAlign val="superscript"/>
        <sz val="11"/>
        <color theme="1"/>
        <rFont val="游ゴシック"/>
        <family val="3"/>
        <charset val="128"/>
        <scheme val="minor"/>
      </rPr>
      <t>-3</t>
    </r>
    <rPh sb="2" eb="4">
      <t>リュウサン</t>
    </rPh>
    <rPh sb="8" eb="9">
      <t>ネン</t>
    </rPh>
    <rPh sb="11" eb="13">
      <t>タンカ</t>
    </rPh>
    <rPh sb="14" eb="15">
      <t>エン</t>
    </rPh>
    <phoneticPr fontId="1"/>
  </si>
  <si>
    <t>維持管理費(点検費)</t>
    <rPh sb="0" eb="2">
      <t>イジ</t>
    </rPh>
    <rPh sb="2" eb="5">
      <t>カンリヒ</t>
    </rPh>
    <rPh sb="6" eb="8">
      <t>テンケン</t>
    </rPh>
    <rPh sb="8" eb="9">
      <t>ヒ</t>
    </rPh>
    <phoneticPr fontId="1"/>
  </si>
  <si>
    <t>維持管理費(補修費)</t>
    <rPh sb="0" eb="2">
      <t>イジ</t>
    </rPh>
    <rPh sb="2" eb="5">
      <t>カンリヒ</t>
    </rPh>
    <rPh sb="6" eb="8">
      <t>ホシュウ</t>
    </rPh>
    <rPh sb="8" eb="9">
      <t>ヒ</t>
    </rPh>
    <phoneticPr fontId="1"/>
  </si>
  <si>
    <t>Y=Σ(工種別建設費年価×労務費(%)×撤去費(%))＋建設費年価×4%</t>
    <rPh sb="4" eb="6">
      <t>コウシュ</t>
    </rPh>
    <rPh sb="6" eb="7">
      <t>ベツ</t>
    </rPh>
    <rPh sb="7" eb="10">
      <t>ケンセツヒ</t>
    </rPh>
    <rPh sb="10" eb="11">
      <t>ネン</t>
    </rPh>
    <rPh sb="11" eb="12">
      <t>カ</t>
    </rPh>
    <rPh sb="13" eb="16">
      <t>ロウムヒ</t>
    </rPh>
    <rPh sb="20" eb="22">
      <t>テッキョ</t>
    </rPh>
    <rPh sb="22" eb="23">
      <t>ヒ</t>
    </rPh>
    <rPh sb="28" eb="31">
      <t>ケンセツヒ</t>
    </rPh>
    <rPh sb="31" eb="32">
      <t>ネン</t>
    </rPh>
    <rPh sb="32" eb="33">
      <t>カ</t>
    </rPh>
    <phoneticPr fontId="1"/>
  </si>
  <si>
    <t>※革新的技術：固定床型アナモックスプロセス　　従来技術：担体添加ステップ流入式2段硝化脱窒法</t>
    <rPh sb="23" eb="25">
      <t>ジュウライ</t>
    </rPh>
    <rPh sb="28" eb="30">
      <t>タンタイ</t>
    </rPh>
    <rPh sb="30" eb="32">
      <t>テンカ</t>
    </rPh>
    <rPh sb="36" eb="38">
      <t>リュウニュウ</t>
    </rPh>
    <rPh sb="38" eb="39">
      <t>シキ</t>
    </rPh>
    <rPh sb="40" eb="41">
      <t>ダン</t>
    </rPh>
    <rPh sb="41" eb="43">
      <t>ショウカ</t>
    </rPh>
    <rPh sb="43" eb="45">
      <t>ダッチツ</t>
    </rPh>
    <rPh sb="45" eb="46">
      <t>ホウ</t>
    </rPh>
    <phoneticPr fontId="1"/>
  </si>
  <si>
    <t>千円/年</t>
    <rPh sb="0" eb="2">
      <t>センエン</t>
    </rPh>
    <rPh sb="3" eb="4">
      <t>ドシ</t>
    </rPh>
    <phoneticPr fontId="1"/>
  </si>
  <si>
    <t>水道</t>
    <rPh sb="0" eb="2">
      <t>スイドウ</t>
    </rPh>
    <phoneticPr fontId="1"/>
  </si>
  <si>
    <t>ポリ硫酸鉄</t>
    <rPh sb="2" eb="4">
      <t>リュウサン</t>
    </rPh>
    <rPh sb="4" eb="5">
      <t>テツ</t>
    </rPh>
    <phoneticPr fontId="1"/>
  </si>
  <si>
    <r>
      <t>(MJ/m</t>
    </r>
    <r>
      <rPr>
        <vertAlign val="superscript"/>
        <sz val="11"/>
        <color theme="1"/>
        <rFont val="游ゴシック"/>
        <family val="3"/>
        <charset val="128"/>
        <scheme val="minor"/>
      </rPr>
      <t>3</t>
    </r>
    <r>
      <rPr>
        <sz val="11"/>
        <color theme="1"/>
        <rFont val="游ゴシック"/>
        <family val="2"/>
        <charset val="128"/>
        <scheme val="minor"/>
      </rPr>
      <t>)</t>
    </r>
    <phoneticPr fontId="1"/>
  </si>
  <si>
    <t>(MJ/t)</t>
    <phoneticPr fontId="1"/>
  </si>
  <si>
    <r>
      <t>苛性ｿｰﾀﾞ(24%)</t>
    </r>
    <r>
      <rPr>
        <vertAlign val="superscript"/>
        <sz val="11"/>
        <color theme="1"/>
        <rFont val="游ゴシック"/>
        <family val="3"/>
        <charset val="128"/>
        <scheme val="minor"/>
      </rPr>
      <t>※</t>
    </r>
    <rPh sb="0" eb="2">
      <t>カセイ</t>
    </rPh>
    <phoneticPr fontId="1"/>
  </si>
  <si>
    <t>硫酸(50%)※</t>
    <rPh sb="0" eb="2">
      <t>リュウサン</t>
    </rPh>
    <phoneticPr fontId="1"/>
  </si>
  <si>
    <t>水道</t>
    <rPh sb="0" eb="2">
      <t>スイドウ</t>
    </rPh>
    <phoneticPr fontId="1"/>
  </si>
  <si>
    <r>
      <t>Y＝電力(kWh/年)×エネルギー消費原単位（MJ/kWh)×10</t>
    </r>
    <r>
      <rPr>
        <vertAlign val="superscript"/>
        <sz val="11"/>
        <color theme="1"/>
        <rFont val="游ゴシック"/>
        <family val="3"/>
        <charset val="128"/>
        <scheme val="minor"/>
      </rPr>
      <t>-3</t>
    </r>
    <rPh sb="2" eb="4">
      <t>デンリョク</t>
    </rPh>
    <rPh sb="9" eb="10">
      <t>ネン</t>
    </rPh>
    <rPh sb="17" eb="19">
      <t>ショウヒ</t>
    </rPh>
    <rPh sb="19" eb="22">
      <t>ゲンタンイ</t>
    </rPh>
    <phoneticPr fontId="1"/>
  </si>
  <si>
    <r>
      <t>Y=水道(m</t>
    </r>
    <r>
      <rPr>
        <vertAlign val="superscript"/>
        <sz val="11"/>
        <rFont val="游ゴシック"/>
        <family val="3"/>
        <charset val="128"/>
        <scheme val="minor"/>
      </rPr>
      <t>3</t>
    </r>
    <r>
      <rPr>
        <sz val="11"/>
        <rFont val="游ゴシック"/>
        <family val="3"/>
        <charset val="128"/>
        <scheme val="minor"/>
      </rPr>
      <t>/年)×エネルギー消費原単位(MJ/m</t>
    </r>
    <r>
      <rPr>
        <vertAlign val="superscript"/>
        <sz val="11"/>
        <rFont val="游ゴシック"/>
        <family val="3"/>
        <charset val="128"/>
        <scheme val="minor"/>
      </rPr>
      <t>3</t>
    </r>
    <r>
      <rPr>
        <sz val="11"/>
        <rFont val="游ゴシック"/>
        <family val="3"/>
        <charset val="128"/>
        <scheme val="minor"/>
      </rPr>
      <t>)×10</t>
    </r>
    <r>
      <rPr>
        <vertAlign val="superscript"/>
        <sz val="11"/>
        <rFont val="游ゴシック"/>
        <family val="3"/>
        <charset val="128"/>
        <scheme val="minor"/>
      </rPr>
      <t>-3</t>
    </r>
    <rPh sb="2" eb="4">
      <t>スイドウ</t>
    </rPh>
    <phoneticPr fontId="1"/>
  </si>
  <si>
    <r>
      <t>Y=ポリ硫酸鉄(kg/年)×エネルギー消費原単位(MJ/t)×10</t>
    </r>
    <r>
      <rPr>
        <vertAlign val="superscript"/>
        <sz val="11"/>
        <rFont val="游ゴシック"/>
        <family val="3"/>
        <charset val="128"/>
        <scheme val="minor"/>
      </rPr>
      <t>-6</t>
    </r>
    <rPh sb="4" eb="6">
      <t>リュウサン</t>
    </rPh>
    <rPh sb="6" eb="7">
      <t>テツ</t>
    </rPh>
    <phoneticPr fontId="1"/>
  </si>
  <si>
    <t>薬品</t>
    <phoneticPr fontId="1"/>
  </si>
  <si>
    <t>ポリ硫酸鉄(GJ/年)</t>
    <rPh sb="2" eb="4">
      <t>リュウサン</t>
    </rPh>
    <rPh sb="4" eb="5">
      <t>テツ</t>
    </rPh>
    <phoneticPr fontId="1"/>
  </si>
  <si>
    <t>高分子(GJ/年)</t>
    <rPh sb="0" eb="3">
      <t>コウブンシ</t>
    </rPh>
    <phoneticPr fontId="1"/>
  </si>
  <si>
    <t>苛性(GJ/年)</t>
    <rPh sb="0" eb="2">
      <t>カセイ</t>
    </rPh>
    <phoneticPr fontId="1"/>
  </si>
  <si>
    <t>硫酸(GJ/年)</t>
    <rPh sb="0" eb="2">
      <t>リュウサン</t>
    </rPh>
    <phoneticPr fontId="1"/>
  </si>
  <si>
    <r>
      <t>Y=高分子(kg/年)×エネルギー消費原単位(MJ/t)×10</t>
    </r>
    <r>
      <rPr>
        <vertAlign val="superscript"/>
        <sz val="11"/>
        <rFont val="游ゴシック"/>
        <family val="3"/>
        <charset val="128"/>
        <scheme val="minor"/>
      </rPr>
      <t>-6</t>
    </r>
    <rPh sb="2" eb="5">
      <t>コウブンシ</t>
    </rPh>
    <phoneticPr fontId="1"/>
  </si>
  <si>
    <r>
      <t>Y=苛性(kg/年)×エネルギー消費原単位(MJ/t)×10</t>
    </r>
    <r>
      <rPr>
        <vertAlign val="superscript"/>
        <sz val="11"/>
        <rFont val="游ゴシック"/>
        <family val="3"/>
        <charset val="128"/>
        <scheme val="minor"/>
      </rPr>
      <t>-6</t>
    </r>
    <rPh sb="2" eb="4">
      <t>カセイ</t>
    </rPh>
    <phoneticPr fontId="1"/>
  </si>
  <si>
    <r>
      <t>Y=硫酸(kg/年)×エネルギー消費原単位(MJ/t)×10</t>
    </r>
    <r>
      <rPr>
        <vertAlign val="superscript"/>
        <sz val="11"/>
        <rFont val="游ゴシック"/>
        <family val="3"/>
        <charset val="128"/>
        <scheme val="minor"/>
      </rPr>
      <t>-6</t>
    </r>
    <rPh sb="2" eb="4">
      <t>リュウサン</t>
    </rPh>
    <phoneticPr fontId="1"/>
  </si>
  <si>
    <t>GJ/年</t>
    <rPh sb="3" eb="4">
      <t>ネン</t>
    </rPh>
    <phoneticPr fontId="1"/>
  </si>
  <si>
    <t>GHG排出量原単位</t>
    <rPh sb="3" eb="5">
      <t>ハイシュツ</t>
    </rPh>
    <rPh sb="5" eb="6">
      <t>リョウ</t>
    </rPh>
    <rPh sb="6" eb="9">
      <t>ゲンタンイ</t>
    </rPh>
    <phoneticPr fontId="1"/>
  </si>
  <si>
    <r>
      <t>(t-CO</t>
    </r>
    <r>
      <rPr>
        <vertAlign val="subscript"/>
        <sz val="11"/>
        <color theme="1"/>
        <rFont val="游ゴシック"/>
        <family val="3"/>
        <charset val="128"/>
        <scheme val="minor"/>
      </rPr>
      <t>2</t>
    </r>
    <r>
      <rPr>
        <sz val="11"/>
        <color theme="1"/>
        <rFont val="游ゴシック"/>
        <family val="2"/>
        <charset val="128"/>
        <scheme val="minor"/>
      </rPr>
      <t>/kWh)</t>
    </r>
    <phoneticPr fontId="1"/>
  </si>
  <si>
    <r>
      <t>(t-CO</t>
    </r>
    <r>
      <rPr>
        <vertAlign val="subscript"/>
        <sz val="11"/>
        <color theme="1"/>
        <rFont val="游ゴシック"/>
        <family val="3"/>
        <charset val="128"/>
        <scheme val="minor"/>
      </rPr>
      <t>2</t>
    </r>
    <r>
      <rPr>
        <sz val="11"/>
        <color theme="1"/>
        <rFont val="游ゴシック"/>
        <family val="2"/>
        <charset val="128"/>
        <scheme val="minor"/>
      </rPr>
      <t>/m</t>
    </r>
    <r>
      <rPr>
        <vertAlign val="superscript"/>
        <sz val="11"/>
        <color theme="1"/>
        <rFont val="游ゴシック"/>
        <family val="3"/>
        <charset val="128"/>
        <scheme val="minor"/>
      </rPr>
      <t>3</t>
    </r>
    <r>
      <rPr>
        <sz val="11"/>
        <color theme="1"/>
        <rFont val="游ゴシック"/>
        <family val="2"/>
        <charset val="128"/>
        <scheme val="minor"/>
      </rPr>
      <t>)</t>
    </r>
    <phoneticPr fontId="1"/>
  </si>
  <si>
    <r>
      <t>(t-CO</t>
    </r>
    <r>
      <rPr>
        <vertAlign val="subscript"/>
        <sz val="11"/>
        <color theme="1"/>
        <rFont val="游ゴシック"/>
        <family val="3"/>
        <charset val="128"/>
        <scheme val="minor"/>
      </rPr>
      <t>2</t>
    </r>
    <r>
      <rPr>
        <sz val="11"/>
        <color theme="1"/>
        <rFont val="游ゴシック"/>
        <family val="2"/>
        <charset val="128"/>
        <scheme val="minor"/>
      </rPr>
      <t>/t)</t>
    </r>
    <phoneticPr fontId="1"/>
  </si>
  <si>
    <r>
      <t>高分子(t-CO</t>
    </r>
    <r>
      <rPr>
        <vertAlign val="subscript"/>
        <sz val="11"/>
        <color theme="1"/>
        <rFont val="游ゴシック"/>
        <family val="3"/>
        <charset val="128"/>
        <scheme val="minor"/>
      </rPr>
      <t>2</t>
    </r>
    <r>
      <rPr>
        <sz val="11"/>
        <color theme="1"/>
        <rFont val="游ゴシック"/>
        <family val="2"/>
        <charset val="128"/>
        <scheme val="minor"/>
      </rPr>
      <t>/年)</t>
    </r>
    <rPh sb="0" eb="3">
      <t>コウブンシ</t>
    </rPh>
    <phoneticPr fontId="1"/>
  </si>
  <si>
    <r>
      <t>ポリ硫酸鉄(t-CO</t>
    </r>
    <r>
      <rPr>
        <vertAlign val="subscript"/>
        <sz val="11"/>
        <color theme="1"/>
        <rFont val="游ゴシック"/>
        <family val="3"/>
        <charset val="128"/>
        <scheme val="minor"/>
      </rPr>
      <t>2</t>
    </r>
    <r>
      <rPr>
        <sz val="11"/>
        <color theme="1"/>
        <rFont val="游ゴシック"/>
        <family val="2"/>
        <charset val="128"/>
        <scheme val="minor"/>
      </rPr>
      <t>/年)</t>
    </r>
    <rPh sb="2" eb="4">
      <t>リュウサン</t>
    </rPh>
    <rPh sb="4" eb="5">
      <t>テツ</t>
    </rPh>
    <phoneticPr fontId="1"/>
  </si>
  <si>
    <r>
      <t>苛性(t-CO</t>
    </r>
    <r>
      <rPr>
        <vertAlign val="subscript"/>
        <sz val="11"/>
        <color theme="1"/>
        <rFont val="游ゴシック"/>
        <family val="3"/>
        <charset val="128"/>
        <scheme val="minor"/>
      </rPr>
      <t>2/</t>
    </r>
    <r>
      <rPr>
        <sz val="11"/>
        <color theme="1"/>
        <rFont val="游ゴシック"/>
        <family val="2"/>
        <charset val="128"/>
        <scheme val="minor"/>
      </rPr>
      <t>年)</t>
    </r>
    <rPh sb="0" eb="2">
      <t>カセイ</t>
    </rPh>
    <phoneticPr fontId="1"/>
  </si>
  <si>
    <r>
      <t>硫酸(t-CO</t>
    </r>
    <r>
      <rPr>
        <vertAlign val="subscript"/>
        <sz val="11"/>
        <color theme="1"/>
        <rFont val="游ゴシック"/>
        <family val="3"/>
        <charset val="128"/>
        <scheme val="minor"/>
      </rPr>
      <t>2</t>
    </r>
    <r>
      <rPr>
        <sz val="11"/>
        <color theme="1"/>
        <rFont val="游ゴシック"/>
        <family val="2"/>
        <charset val="128"/>
        <scheme val="minor"/>
      </rPr>
      <t>/年)</t>
    </r>
    <rPh sb="0" eb="2">
      <t>リュウサン</t>
    </rPh>
    <phoneticPr fontId="1"/>
  </si>
  <si>
    <r>
      <t>Y＝電力(kWh/年)×GHG排出量原単位（t-CO</t>
    </r>
    <r>
      <rPr>
        <vertAlign val="subscript"/>
        <sz val="11"/>
        <color theme="1"/>
        <rFont val="游ゴシック"/>
        <family val="3"/>
        <charset val="128"/>
        <scheme val="minor"/>
      </rPr>
      <t>2</t>
    </r>
    <r>
      <rPr>
        <sz val="11"/>
        <color theme="1"/>
        <rFont val="游ゴシック"/>
        <family val="2"/>
        <charset val="128"/>
        <scheme val="minor"/>
      </rPr>
      <t>/kWh)</t>
    </r>
    <rPh sb="2" eb="4">
      <t>デンリョク</t>
    </rPh>
    <rPh sb="9" eb="10">
      <t>ネン</t>
    </rPh>
    <rPh sb="15" eb="17">
      <t>ハイシュツ</t>
    </rPh>
    <rPh sb="17" eb="18">
      <t>リョウ</t>
    </rPh>
    <rPh sb="18" eb="21">
      <t>ゲンタンイ</t>
    </rPh>
    <phoneticPr fontId="1"/>
  </si>
  <si>
    <r>
      <t>Y=水道(m</t>
    </r>
    <r>
      <rPr>
        <vertAlign val="superscript"/>
        <sz val="11"/>
        <rFont val="游ゴシック"/>
        <family val="3"/>
        <charset val="128"/>
        <scheme val="minor"/>
      </rPr>
      <t>3</t>
    </r>
    <r>
      <rPr>
        <sz val="11"/>
        <rFont val="游ゴシック"/>
        <family val="3"/>
        <charset val="128"/>
        <scheme val="minor"/>
      </rPr>
      <t>/年)×GHG排出量原単位（t-CO</t>
    </r>
    <r>
      <rPr>
        <vertAlign val="subscript"/>
        <sz val="11"/>
        <rFont val="游ゴシック"/>
        <family val="3"/>
        <charset val="128"/>
        <scheme val="minor"/>
      </rPr>
      <t>2</t>
    </r>
    <r>
      <rPr>
        <sz val="11"/>
        <rFont val="游ゴシック"/>
        <family val="3"/>
        <charset val="128"/>
        <scheme val="minor"/>
      </rPr>
      <t>/m</t>
    </r>
    <r>
      <rPr>
        <vertAlign val="superscript"/>
        <sz val="11"/>
        <rFont val="游ゴシック"/>
        <family val="3"/>
        <charset val="128"/>
        <scheme val="minor"/>
      </rPr>
      <t>3</t>
    </r>
    <r>
      <rPr>
        <sz val="11"/>
        <rFont val="游ゴシック"/>
        <family val="3"/>
        <charset val="128"/>
        <scheme val="minor"/>
      </rPr>
      <t>)</t>
    </r>
    <rPh sb="2" eb="4">
      <t>スイドウ</t>
    </rPh>
    <phoneticPr fontId="1"/>
  </si>
  <si>
    <r>
      <t>Y=ポリ硫酸鉄(kg/年)×GHG排出量原単位（t-CO</t>
    </r>
    <r>
      <rPr>
        <vertAlign val="subscript"/>
        <sz val="11"/>
        <rFont val="游ゴシック"/>
        <family val="3"/>
        <charset val="128"/>
        <scheme val="minor"/>
      </rPr>
      <t>2</t>
    </r>
    <r>
      <rPr>
        <sz val="11"/>
        <rFont val="游ゴシック"/>
        <family val="3"/>
        <charset val="128"/>
        <scheme val="minor"/>
      </rPr>
      <t>/t)×10</t>
    </r>
    <r>
      <rPr>
        <vertAlign val="superscript"/>
        <sz val="11"/>
        <rFont val="游ゴシック"/>
        <family val="3"/>
        <charset val="128"/>
        <scheme val="minor"/>
      </rPr>
      <t>-3</t>
    </r>
    <rPh sb="4" eb="6">
      <t>リュウサン</t>
    </rPh>
    <rPh sb="6" eb="7">
      <t>テツ</t>
    </rPh>
    <phoneticPr fontId="1"/>
  </si>
  <si>
    <r>
      <t>Y=高分子(kg/年)×GHG排出量原単位（t-CO2/t)×10</t>
    </r>
    <r>
      <rPr>
        <vertAlign val="superscript"/>
        <sz val="11"/>
        <rFont val="游ゴシック"/>
        <family val="3"/>
        <charset val="128"/>
        <scheme val="minor"/>
      </rPr>
      <t>-3</t>
    </r>
    <rPh sb="2" eb="5">
      <t>コウブンシ</t>
    </rPh>
    <phoneticPr fontId="1"/>
  </si>
  <si>
    <t>Y=苛性(kg/年)×GHG排出量原単位（t-CO2/t)×10-3</t>
    <rPh sb="2" eb="4">
      <t>カセイ</t>
    </rPh>
    <phoneticPr fontId="1"/>
  </si>
  <si>
    <t>Y=硫酸(kg/年)×GHG排出量原単位（t-CO2/t)×10-3</t>
    <rPh sb="2" eb="4">
      <t>リュウサン</t>
    </rPh>
    <phoneticPr fontId="1"/>
  </si>
  <si>
    <t>建設段階時合計</t>
    <rPh sb="0" eb="2">
      <t>ケンセツ</t>
    </rPh>
    <rPh sb="2" eb="4">
      <t>ダンカイ</t>
    </rPh>
    <rPh sb="4" eb="5">
      <t>ジ</t>
    </rPh>
    <rPh sb="5" eb="7">
      <t>ゴウケイ</t>
    </rPh>
    <phoneticPr fontId="1"/>
  </si>
  <si>
    <t>解体・撤去時合計</t>
    <rPh sb="0" eb="2">
      <t>カイタイ</t>
    </rPh>
    <rPh sb="3" eb="5">
      <t>テッキョ</t>
    </rPh>
    <rPh sb="5" eb="6">
      <t>ジ</t>
    </rPh>
    <rPh sb="6" eb="8">
      <t>ゴウケイ</t>
    </rPh>
    <phoneticPr fontId="1"/>
  </si>
  <si>
    <r>
      <t>原水T-N(mg/L)</t>
    </r>
    <r>
      <rPr>
        <vertAlign val="superscript"/>
        <sz val="11"/>
        <color theme="1"/>
        <rFont val="游ゴシック"/>
        <family val="3"/>
        <charset val="128"/>
        <scheme val="minor"/>
      </rPr>
      <t>※</t>
    </r>
    <rPh sb="0" eb="2">
      <t>ゲンスイ</t>
    </rPh>
    <phoneticPr fontId="1"/>
  </si>
  <si>
    <t>担体添加ステップ流入式2段硝化脱窒法</t>
    <phoneticPr fontId="1"/>
  </si>
  <si>
    <t>ﾒﾀﾉｰﾙ(kg/年)</t>
    <phoneticPr fontId="1"/>
  </si>
  <si>
    <t>メタノール
(千円/年)</t>
    <rPh sb="7" eb="8">
      <t>セン</t>
    </rPh>
    <phoneticPr fontId="1"/>
  </si>
  <si>
    <t>ﾒﾀﾉｰﾙ(GJ/年)</t>
    <phoneticPr fontId="1"/>
  </si>
  <si>
    <r>
      <t>Y=メタノール(kg/年)×エネルギー消費原単位(MJ/t)×10</t>
    </r>
    <r>
      <rPr>
        <vertAlign val="superscript"/>
        <sz val="11"/>
        <rFont val="游ゴシック"/>
        <family val="3"/>
        <charset val="128"/>
        <scheme val="minor"/>
      </rPr>
      <t>-6</t>
    </r>
    <phoneticPr fontId="1"/>
  </si>
  <si>
    <r>
      <rPr>
        <sz val="11"/>
        <color theme="1"/>
        <rFont val="游ゴシック"/>
        <family val="3"/>
        <charset val="128"/>
        <scheme val="minor"/>
      </rPr>
      <t>ﾒﾀﾉｰﾙ</t>
    </r>
    <r>
      <rPr>
        <sz val="11"/>
        <color theme="1"/>
        <rFont val="游ゴシック"/>
        <family val="2"/>
        <charset val="128"/>
        <scheme val="minor"/>
      </rPr>
      <t>(t-CO</t>
    </r>
    <r>
      <rPr>
        <vertAlign val="subscript"/>
        <sz val="11"/>
        <color theme="1"/>
        <rFont val="游ゴシック"/>
        <family val="3"/>
        <charset val="128"/>
        <scheme val="minor"/>
      </rPr>
      <t>2</t>
    </r>
    <r>
      <rPr>
        <sz val="11"/>
        <color theme="1"/>
        <rFont val="游ゴシック"/>
        <family val="2"/>
        <charset val="128"/>
        <scheme val="minor"/>
      </rPr>
      <t>/年)</t>
    </r>
    <phoneticPr fontId="1"/>
  </si>
  <si>
    <t>Y=ﾒﾀﾉｰﾙ(kg/年)×GHG排出量原単位（t-CO2/t)×10-3</t>
    <phoneticPr fontId="1"/>
  </si>
  <si>
    <t>Y = 1.4049X + 180</t>
    <phoneticPr fontId="1"/>
  </si>
  <si>
    <t>-</t>
    <phoneticPr fontId="1"/>
  </si>
  <si>
    <t>利子率</t>
    <rPh sb="0" eb="2">
      <t>リシ</t>
    </rPh>
    <rPh sb="2" eb="3">
      <t>リツ</t>
    </rPh>
    <phoneticPr fontId="1"/>
  </si>
  <si>
    <t>-</t>
    <phoneticPr fontId="1"/>
  </si>
  <si>
    <t>Y = 1428.7X + 186257</t>
    <phoneticPr fontId="1"/>
  </si>
  <si>
    <t>Y = 0.858X+1</t>
    <phoneticPr fontId="1"/>
  </si>
  <si>
    <r>
      <t>Y＝水道(m</t>
    </r>
    <r>
      <rPr>
        <vertAlign val="superscript"/>
        <sz val="11"/>
        <color theme="1"/>
        <rFont val="游ゴシック"/>
        <family val="3"/>
        <charset val="128"/>
        <scheme val="minor"/>
      </rPr>
      <t>3</t>
    </r>
    <r>
      <rPr>
        <sz val="11"/>
        <color theme="1"/>
        <rFont val="游ゴシック"/>
        <family val="3"/>
        <charset val="128"/>
        <scheme val="minor"/>
      </rPr>
      <t>/年)×単価（円/m</t>
    </r>
    <r>
      <rPr>
        <vertAlign val="superscript"/>
        <sz val="11"/>
        <color theme="1"/>
        <rFont val="游ゴシック"/>
        <family val="3"/>
        <charset val="128"/>
        <scheme val="minor"/>
      </rPr>
      <t>3</t>
    </r>
    <r>
      <rPr>
        <sz val="11"/>
        <color theme="1"/>
        <rFont val="游ゴシック"/>
        <family val="3"/>
        <charset val="128"/>
        <scheme val="minor"/>
      </rPr>
      <t>)×10</t>
    </r>
    <r>
      <rPr>
        <vertAlign val="superscript"/>
        <sz val="11"/>
        <color theme="1"/>
        <rFont val="游ゴシック"/>
        <family val="3"/>
        <charset val="128"/>
        <scheme val="minor"/>
      </rPr>
      <t>-3</t>
    </r>
    <rPh sb="2" eb="4">
      <t>スイドウ</t>
    </rPh>
    <rPh sb="8" eb="9">
      <t>ネン</t>
    </rPh>
    <rPh sb="11" eb="13">
      <t>タンカ</t>
    </rPh>
    <rPh sb="14" eb="15">
      <t>エン</t>
    </rPh>
    <phoneticPr fontId="1"/>
  </si>
  <si>
    <t>Y= 645.38X + 75</t>
    <phoneticPr fontId="1"/>
  </si>
  <si>
    <t>Y= 1470.8X- 129</t>
    <phoneticPr fontId="1"/>
  </si>
  <si>
    <t>Y=2450.6X -6</t>
    <phoneticPr fontId="1"/>
  </si>
  <si>
    <r>
      <t>Y＝メタノール(kg/年)×単価（円/kg)×10</t>
    </r>
    <r>
      <rPr>
        <vertAlign val="superscript"/>
        <sz val="11"/>
        <color theme="1"/>
        <rFont val="游ゴシック"/>
        <family val="3"/>
        <charset val="128"/>
        <scheme val="minor"/>
      </rPr>
      <t>-3</t>
    </r>
    <rPh sb="11" eb="12">
      <t>ネン</t>
    </rPh>
    <rPh sb="14" eb="16">
      <t>タンカ</t>
    </rPh>
    <rPh sb="17" eb="18">
      <t>エン</t>
    </rPh>
    <phoneticPr fontId="1"/>
  </si>
  <si>
    <t>メタノール単価(円/kg)</t>
    <rPh sb="5" eb="7">
      <t>タンカ</t>
    </rPh>
    <phoneticPr fontId="1"/>
  </si>
  <si>
    <t>Y = 11.443X + 479.35</t>
    <phoneticPr fontId="1"/>
  </si>
  <si>
    <t>y = 102.91X + 4310.7</t>
    <phoneticPr fontId="1"/>
  </si>
  <si>
    <t>※本シートでは消化汚泥脱水ろ液の個別処理を想定した費用関数を使用しているため、原水T-N濃度は設定値とする。</t>
    <phoneticPr fontId="1"/>
  </si>
  <si>
    <t>①、X：窒素除去量(kg-N/日)
2ケースの積算値から式を作成。</t>
    <rPh sb="23" eb="25">
      <t>セキサン</t>
    </rPh>
    <phoneticPr fontId="1"/>
  </si>
  <si>
    <t>②、同上</t>
    <rPh sb="2" eb="4">
      <t>ドウジョウ</t>
    </rPh>
    <phoneticPr fontId="1"/>
  </si>
  <si>
    <t>③、同上</t>
    <rPh sb="2" eb="4">
      <t>ドウジョウ</t>
    </rPh>
    <phoneticPr fontId="1"/>
  </si>
  <si>
    <t>⑤、i：利子率、n：耐用年数</t>
    <phoneticPr fontId="1"/>
  </si>
  <si>
    <t>⑥、i：利子率、n：耐用年数</t>
    <phoneticPr fontId="1"/>
  </si>
  <si>
    <t>Y = 0.296X + 32</t>
    <phoneticPr fontId="1"/>
  </si>
  <si>
    <t>⑦、i：利子率、n：耐用年数</t>
    <phoneticPr fontId="1"/>
  </si>
  <si>
    <t>⑧：⑤+⑥∔⑦</t>
    <phoneticPr fontId="1"/>
  </si>
  <si>
    <t>⑨</t>
    <phoneticPr fontId="1"/>
  </si>
  <si>
    <t>⑩</t>
    <phoneticPr fontId="1"/>
  </si>
  <si>
    <t>⑪</t>
    <phoneticPr fontId="1"/>
  </si>
  <si>
    <t>2ケースの積算値から式を作成。</t>
    <phoneticPr fontId="1"/>
  </si>
  <si>
    <t>Y= 3.427Ｘ ‐66</t>
    <phoneticPr fontId="1"/>
  </si>
  <si>
    <t>㉑、i：利子率、n：耐用年数</t>
    <phoneticPr fontId="1"/>
  </si>
  <si>
    <t>X：窒素除去量(kg-N/日)
3ケースのモデルの値から式を作成。</t>
    <phoneticPr fontId="1"/>
  </si>
  <si>
    <t>3ケースのモデルの値から式を作成。</t>
    <phoneticPr fontId="1"/>
  </si>
  <si>
    <t>㉕</t>
    <phoneticPr fontId="1"/>
  </si>
  <si>
    <t>㉖</t>
    <phoneticPr fontId="1"/>
  </si>
  <si>
    <t>㉚、ガイドラインに掲載の費用関数を使用。</t>
    <rPh sb="9" eb="11">
      <t>ケイサイ</t>
    </rPh>
    <rPh sb="12" eb="14">
      <t>ヒヨウ</t>
    </rPh>
    <rPh sb="14" eb="16">
      <t>カンスウ</t>
    </rPh>
    <rPh sb="17" eb="19">
      <t>シヨウ</t>
    </rPh>
    <phoneticPr fontId="1"/>
  </si>
  <si>
    <t>b：ガイドラインに掲載の費用関数を使用。</t>
    <phoneticPr fontId="1"/>
  </si>
  <si>
    <t>⑱</t>
    <phoneticPr fontId="1"/>
  </si>
  <si>
    <t>㉚</t>
    <phoneticPr fontId="1"/>
  </si>
  <si>
    <t>メタノール</t>
    <phoneticPr fontId="1"/>
  </si>
  <si>
    <t>②</t>
    <phoneticPr fontId="1"/>
  </si>
  <si>
    <t>③</t>
    <phoneticPr fontId="1"/>
  </si>
  <si>
    <t>④</t>
    <phoneticPr fontId="1"/>
  </si>
  <si>
    <t>⑤</t>
    <phoneticPr fontId="1"/>
  </si>
  <si>
    <t>⑥</t>
    <phoneticPr fontId="1"/>
  </si>
  <si>
    <t>⑦：③∔④+⑤+⑥</t>
    <phoneticPr fontId="1"/>
  </si>
  <si>
    <t>⑧：①∔②∔⑦</t>
    <phoneticPr fontId="1"/>
  </si>
  <si>
    <t>⑩</t>
    <phoneticPr fontId="1"/>
  </si>
  <si>
    <t>⑪</t>
    <phoneticPr fontId="1"/>
  </si>
  <si>
    <t>⑫</t>
    <phoneticPr fontId="1"/>
  </si>
  <si>
    <t>⑭</t>
    <phoneticPr fontId="1"/>
  </si>
  <si>
    <t>⑮：⑪+⑫+⑬+⑭</t>
    <phoneticPr fontId="1"/>
  </si>
  <si>
    <t>(1-⑯/⑧)×100</t>
    <phoneticPr fontId="1"/>
  </si>
  <si>
    <t>※100%での値を濃度換算</t>
    <rPh sb="7" eb="8">
      <t>アタイ</t>
    </rPh>
    <rPh sb="9" eb="11">
      <t>ノウド</t>
    </rPh>
    <rPh sb="11" eb="13">
      <t>カンサン</t>
    </rPh>
    <phoneticPr fontId="1"/>
  </si>
  <si>
    <t>⑨、共用段階を80.2%とし19.3%で算出。</t>
    <rPh sb="2" eb="4">
      <t>キョウヨウ</t>
    </rPh>
    <rPh sb="4" eb="6">
      <t>ダンカイ</t>
    </rPh>
    <rPh sb="20" eb="22">
      <t>サンシュツ</t>
    </rPh>
    <phoneticPr fontId="1"/>
  </si>
  <si>
    <t>⑩、共用段階を80.2%とし0.5%で算出。</t>
    <rPh sb="2" eb="4">
      <t>キョウヨウ</t>
    </rPh>
    <rPh sb="4" eb="6">
      <t>ダンカイ</t>
    </rPh>
    <rPh sb="19" eb="21">
      <t>サンシュツ</t>
    </rPh>
    <phoneticPr fontId="1"/>
  </si>
  <si>
    <t>⑪：⑧+⑨+⑩</t>
    <phoneticPr fontId="1"/>
  </si>
  <si>
    <t>⑯</t>
    <phoneticPr fontId="1"/>
  </si>
  <si>
    <t>⑱：⑭+⑮+⑯+⑰</t>
    <phoneticPr fontId="1"/>
  </si>
  <si>
    <t>⑲：⑫+⑬+⑱</t>
    <phoneticPr fontId="1"/>
  </si>
  <si>
    <t>⑲、共用段階を80.2%とし19.3%で算出。</t>
    <rPh sb="2" eb="4">
      <t>キョウヨウ</t>
    </rPh>
    <rPh sb="4" eb="6">
      <t>ダンカイ</t>
    </rPh>
    <rPh sb="20" eb="22">
      <t>サンシュツ</t>
    </rPh>
    <phoneticPr fontId="1"/>
  </si>
  <si>
    <t>⑳、共用段階を80.2%とし0.5%で算出。</t>
    <rPh sb="2" eb="4">
      <t>キョウヨウ</t>
    </rPh>
    <rPh sb="4" eb="6">
      <t>ダンカイ</t>
    </rPh>
    <rPh sb="19" eb="21">
      <t>サンシュツ</t>
    </rPh>
    <phoneticPr fontId="1"/>
  </si>
  <si>
    <t>㉒：(1－㉑/⑪)×100</t>
    <phoneticPr fontId="1"/>
  </si>
  <si>
    <t>Y =2.06X + 69.42</t>
    <phoneticPr fontId="1"/>
  </si>
  <si>
    <t>㉑、ガイドラインに掲載の費用関数を使用。</t>
    <phoneticPr fontId="1"/>
  </si>
  <si>
    <t>⑯、ガイドラインに掲載の費用関数を使用。</t>
    <phoneticPr fontId="1"/>
  </si>
  <si>
    <t>Y =29.26X +980.60</t>
    <phoneticPr fontId="1"/>
  </si>
  <si>
    <t>㉗</t>
    <phoneticPr fontId="1"/>
  </si>
  <si>
    <t>㉘</t>
    <phoneticPr fontId="1"/>
  </si>
  <si>
    <t>㉙：㉕∔㉖+㉗∔㉘</t>
    <phoneticPr fontId="1"/>
  </si>
  <si>
    <t>⑮：⑪+⑫+⑬+⑭</t>
    <phoneticPr fontId="1"/>
  </si>
  <si>
    <t>⑯、2ケースの積算値から式を作成。</t>
    <phoneticPr fontId="1"/>
  </si>
  <si>
    <t>⑰、2ケースの積算値から式を作成。</t>
    <phoneticPr fontId="1"/>
  </si>
  <si>
    <t>⑱：⑨+⑩+⑮+⑯+⑰</t>
    <phoneticPr fontId="1"/>
  </si>
  <si>
    <r>
      <rPr>
        <sz val="11"/>
        <rFont val="游ゴシック"/>
        <family val="3"/>
        <charset val="128"/>
        <scheme val="minor"/>
      </rPr>
      <t>⑲、</t>
    </r>
    <r>
      <rPr>
        <sz val="8"/>
        <rFont val="游ゴシック"/>
        <family val="3"/>
        <charset val="128"/>
        <scheme val="minor"/>
      </rPr>
      <t>撤去費は労務費の40％とし、労務費の建設費に対する割合は機械設備50%、土木建設施設および電気設備15％とする。スクラップ費は建設費の4％とする。</t>
    </r>
    <rPh sb="2" eb="4">
      <t>テッキョ</t>
    </rPh>
    <rPh sb="4" eb="5">
      <t>ヒ</t>
    </rPh>
    <rPh sb="6" eb="9">
      <t>ロウムヒ</t>
    </rPh>
    <rPh sb="16" eb="19">
      <t>ロウムヒ</t>
    </rPh>
    <rPh sb="20" eb="23">
      <t>ケンセツヒ</t>
    </rPh>
    <rPh sb="24" eb="25">
      <t>タイ</t>
    </rPh>
    <rPh sb="27" eb="29">
      <t>ワリアイ</t>
    </rPh>
    <rPh sb="30" eb="32">
      <t>キカイ</t>
    </rPh>
    <rPh sb="32" eb="34">
      <t>セツビ</t>
    </rPh>
    <rPh sb="38" eb="40">
      <t>ドボク</t>
    </rPh>
    <rPh sb="40" eb="42">
      <t>ケンセツ</t>
    </rPh>
    <rPh sb="42" eb="44">
      <t>シセツ</t>
    </rPh>
    <rPh sb="47" eb="49">
      <t>デンキ</t>
    </rPh>
    <rPh sb="49" eb="51">
      <t>セツビ</t>
    </rPh>
    <rPh sb="63" eb="64">
      <t>ヒ</t>
    </rPh>
    <rPh sb="65" eb="68">
      <t>ケンセツヒ</t>
    </rPh>
    <phoneticPr fontId="1"/>
  </si>
  <si>
    <t>a：⑧+⑱+⑲</t>
    <phoneticPr fontId="1"/>
  </si>
  <si>
    <t>⑳、ガイドラインに掲載の費用関数を使用。</t>
    <rPh sb="9" eb="11">
      <t>ケイサイ</t>
    </rPh>
    <rPh sb="12" eb="14">
      <t>ヒヨウ</t>
    </rPh>
    <rPh sb="14" eb="16">
      <t>カンスウ</t>
    </rPh>
    <rPh sb="17" eb="19">
      <t>シヨウ</t>
    </rPh>
    <phoneticPr fontId="1"/>
  </si>
  <si>
    <t>㉒、i：利子率、n：耐用年数</t>
    <phoneticPr fontId="1"/>
  </si>
  <si>
    <t>㉓、i：利子率、n：耐用年数</t>
    <phoneticPr fontId="1"/>
  </si>
  <si>
    <t>㉔：㉑+㉒+㉓</t>
    <phoneticPr fontId="1"/>
  </si>
  <si>
    <t>撤去費は労務費の40％とし、労務費の建設費に対する割合は機械設備50%、土木建設施設および電気設備15％とする。スクラップ費は建設費の4％とする。</t>
    <rPh sb="0" eb="2">
      <t>テッキョ</t>
    </rPh>
    <rPh sb="2" eb="3">
      <t>ヒ</t>
    </rPh>
    <rPh sb="4" eb="7">
      <t>ロウムヒ</t>
    </rPh>
    <rPh sb="14" eb="17">
      <t>ロウムヒ</t>
    </rPh>
    <rPh sb="18" eb="21">
      <t>ケンセツヒ</t>
    </rPh>
    <rPh sb="22" eb="23">
      <t>タイ</t>
    </rPh>
    <rPh sb="25" eb="27">
      <t>ワリアイ</t>
    </rPh>
    <rPh sb="28" eb="30">
      <t>キカイ</t>
    </rPh>
    <rPh sb="30" eb="32">
      <t>セツビ</t>
    </rPh>
    <rPh sb="36" eb="38">
      <t>ドボク</t>
    </rPh>
    <rPh sb="38" eb="40">
      <t>ケンセツ</t>
    </rPh>
    <rPh sb="40" eb="42">
      <t>シセツ</t>
    </rPh>
    <rPh sb="45" eb="47">
      <t>デンキ</t>
    </rPh>
    <rPh sb="47" eb="49">
      <t>セツビ</t>
    </rPh>
    <rPh sb="61" eb="62">
      <t>ヒ</t>
    </rPh>
    <rPh sb="63" eb="66">
      <t>ケンセツヒ</t>
    </rPh>
    <phoneticPr fontId="1"/>
  </si>
  <si>
    <t>(1-㉚/⑱)×100</t>
    <phoneticPr fontId="1"/>
  </si>
  <si>
    <t>⑧</t>
    <phoneticPr fontId="1"/>
  </si>
  <si>
    <t>㉔</t>
    <phoneticPr fontId="1"/>
  </si>
  <si>
    <t>(1-㉔/⑧)×100</t>
    <phoneticPr fontId="1"/>
  </si>
  <si>
    <t>※ガイドラインでは3ケースの処理規模で試算した建設費とユーティリティー消費量を掲載するとともに、その値から求めた近似式を費用関数として設定しています。
　本ツールでは費用関数を利用して算出しているため、ガイドラインに掲載した値とは若干の差異が生じる場合があります。</t>
    <rPh sb="14" eb="16">
      <t>ショリ</t>
    </rPh>
    <rPh sb="16" eb="18">
      <t>キボ</t>
    </rPh>
    <rPh sb="19" eb="21">
      <t>シサン</t>
    </rPh>
    <rPh sb="23" eb="26">
      <t>ケンセツヒ</t>
    </rPh>
    <rPh sb="35" eb="38">
      <t>ショウヒリョウ</t>
    </rPh>
    <rPh sb="39" eb="41">
      <t>ケイサイ</t>
    </rPh>
    <rPh sb="50" eb="51">
      <t>アタイ</t>
    </rPh>
    <rPh sb="53" eb="54">
      <t>モト</t>
    </rPh>
    <rPh sb="56" eb="59">
      <t>キンジシキ</t>
    </rPh>
    <rPh sb="60" eb="62">
      <t>ヒヨウ</t>
    </rPh>
    <rPh sb="62" eb="64">
      <t>カンスウ</t>
    </rPh>
    <rPh sb="67" eb="69">
      <t>セッテイ</t>
    </rPh>
    <rPh sb="77" eb="78">
      <t>ホン</t>
    </rPh>
    <rPh sb="83" eb="85">
      <t>ヒヨウ</t>
    </rPh>
    <rPh sb="85" eb="87">
      <t>カンスウ</t>
    </rPh>
    <rPh sb="88" eb="90">
      <t>リヨウ</t>
    </rPh>
    <rPh sb="92" eb="94">
      <t>サンシュツ</t>
    </rPh>
    <rPh sb="108" eb="110">
      <t>ケイサイ</t>
    </rPh>
    <rPh sb="112" eb="113">
      <t>アタイ</t>
    </rPh>
    <rPh sb="115" eb="117">
      <t>ジャッカン</t>
    </rPh>
    <rPh sb="118" eb="120">
      <t>サイ</t>
    </rPh>
    <rPh sb="121" eb="122">
      <t>ショウ</t>
    </rPh>
    <rPh sb="124" eb="126">
      <t>バアイ</t>
    </rPh>
    <phoneticPr fontId="1"/>
  </si>
  <si>
    <t>Y = 0.1236X +38.389</t>
    <phoneticPr fontId="1"/>
  </si>
  <si>
    <t>Y= 0.932Ｘ + 92.18</t>
    <phoneticPr fontId="1"/>
  </si>
  <si>
    <t>Y = 0.6178Ｘ + 187.32</t>
    <phoneticPr fontId="1"/>
  </si>
  <si>
    <t>Y=1.674X×317.51</t>
    <phoneticPr fontId="1"/>
  </si>
  <si>
    <t>Y = 0.174X + 13.673</t>
    <phoneticPr fontId="1"/>
  </si>
  <si>
    <t>Y =0.285X + 40.344</t>
    <phoneticPr fontId="1"/>
  </si>
  <si>
    <t>Y = 3.7348X + 1122.6</t>
    <phoneticPr fontId="1"/>
  </si>
  <si>
    <t>Y = 37.182X + 11262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</si>
</sst>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_ "/>
    <numFmt numFmtId="177" formatCode="0.0%"/>
    <numFmt numFmtId="178" formatCode="#,##0_ "/>
    <numFmt numFmtId="179" formatCode="0.0_ "/>
    <numFmt numFmtId="180" formatCode="0_);[Red]\(0\)"/>
    <numFmt numFmtId="181" formatCode="0.0_);[Red]\(0.0\)"/>
    <numFmt numFmtId="182" formatCode="#,##0_);[Red]\(#,##0\)"/>
    <numFmt numFmtId="183" formatCode="#,##0.0_);[Red]\(#,##0.0\)"/>
    <numFmt numFmtId="184" formatCode="0.000000_ "/>
    <numFmt numFmtId="185" formatCode="0.000_);[Red]\(0.000\)"/>
  </numFmts>
  <fonts count="22" x14ac:knownFonts="1">
    <font>
      <sz val="11"/>
      <color theme="1"/>
      <name val="游ゴシック"/>
      <family val="2"/>
      <charset val="128"/>
      <scheme val="minor"/>
    </font>
    <font>
      <sz val="6"/>
      <name val="游ゴシック"/>
      <family val="2"/>
      <charset val="128"/>
      <scheme val="minor"/>
    </font>
    <font>
      <vertAlign val="superscript"/>
      <sz val="11"/>
      <color theme="1"/>
      <name val="游ゴシック"/>
      <family val="3"/>
      <charset val="128"/>
      <scheme val="minor"/>
    </font>
    <font>
      <sz val="11"/>
      <color theme="1"/>
      <name val="游ゴシック"/>
      <family val="3"/>
      <charset val="128"/>
      <scheme val="minor"/>
    </font>
    <font>
      <vertAlign val="subscript"/>
      <sz val="11"/>
      <color theme="1"/>
      <name val="游ゴシック"/>
      <family val="3"/>
      <charset val="128"/>
      <scheme val="minor"/>
    </font>
    <font>
      <sz val="20"/>
      <color theme="1"/>
      <name val="游ゴシック"/>
      <family val="2"/>
      <charset val="128"/>
      <scheme val="minor"/>
    </font>
    <font>
      <sz val="11"/>
      <color rgb="FFFF0000"/>
      <name val="游ゴシック"/>
      <family val="3"/>
      <charset val="128"/>
      <scheme val="minor"/>
    </font>
    <font>
      <sz val="11"/>
      <name val="游ゴシック"/>
      <family val="2"/>
      <charset val="128"/>
      <scheme val="minor"/>
    </font>
    <font>
      <sz val="11"/>
      <name val="游ゴシック"/>
      <family val="3"/>
      <charset val="128"/>
      <scheme val="minor"/>
    </font>
    <font>
      <vertAlign val="superscript"/>
      <sz val="11"/>
      <name val="游ゴシック"/>
      <family val="3"/>
      <charset val="128"/>
      <scheme val="minor"/>
    </font>
    <font>
      <sz val="18"/>
      <color theme="1"/>
      <name val="游ゴシック"/>
      <family val="2"/>
      <charset val="128"/>
      <scheme val="minor"/>
    </font>
    <font>
      <sz val="18"/>
      <color theme="1"/>
      <name val="游ゴシック"/>
      <family val="3"/>
      <charset val="128"/>
      <scheme val="minor"/>
    </font>
    <font>
      <vertAlign val="subscript"/>
      <sz val="11"/>
      <name val="游ゴシック"/>
      <family val="3"/>
      <charset val="128"/>
      <scheme val="minor"/>
    </font>
    <font>
      <sz val="18"/>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rgb="FFFF0000"/>
      <name val="游ゴシック"/>
      <family val="2"/>
      <charset val="128"/>
      <scheme val="minor"/>
    </font>
    <font>
      <sz val="8"/>
      <name val="游ゴシック"/>
      <family val="3"/>
      <charset val="128"/>
      <scheme val="minor"/>
    </font>
    <font>
      <sz val="20"/>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4"/>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D4F9FE"/>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277">
    <xf numFmtId="0" fontId="0" fillId="0" borderId="0" xfId="0">
      <alignment vertical="center"/>
    </xf>
    <xf numFmtId="0" fontId="0" fillId="0" borderId="0" xfId="0" applyAlignment="1">
      <alignment horizontal="left" vertical="center"/>
    </xf>
    <xf numFmtId="176" fontId="0" fillId="0" borderId="0" xfId="0" applyNumberFormat="1" applyAlignment="1">
      <alignment horizontal="center" vertical="center"/>
    </xf>
    <xf numFmtId="0" fontId="0" fillId="0" borderId="0" xfId="0" applyFill="1" applyBorder="1" applyAlignment="1">
      <alignment horizontal="center" vertical="center"/>
    </xf>
    <xf numFmtId="178" fontId="0" fillId="0" borderId="0" xfId="0" applyNumberFormat="1" applyAlignment="1">
      <alignment horizontal="center" vertical="center"/>
    </xf>
    <xf numFmtId="177" fontId="0" fillId="0" borderId="0" xfId="0" applyNumberFormat="1" applyAlignment="1">
      <alignment horizontal="left" vertical="center"/>
    </xf>
    <xf numFmtId="179" fontId="0" fillId="0" borderId="0" xfId="0" applyNumberForma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177" fontId="0" fillId="0" borderId="0"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5" fillId="0" borderId="0" xfId="0" applyFont="1" applyAlignment="1">
      <alignment horizontal="left" vertical="center"/>
    </xf>
    <xf numFmtId="0" fontId="5" fillId="0" borderId="0" xfId="0" applyFont="1" applyFill="1" applyBorder="1" applyAlignment="1">
      <alignment horizontal="lef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8" fillId="0" borderId="1" xfId="0" applyFont="1" applyBorder="1" applyAlignment="1">
      <alignment vertical="center"/>
    </xf>
    <xf numFmtId="0" fontId="0" fillId="0" borderId="1" xfId="0" applyFill="1" applyBorder="1" applyAlignment="1">
      <alignment horizontal="center" vertical="center"/>
    </xf>
    <xf numFmtId="0" fontId="0" fillId="0" borderId="0" xfId="0" applyAlignment="1">
      <alignment horizontal="center" vertical="center"/>
    </xf>
    <xf numFmtId="0" fontId="0" fillId="0" borderId="0" xfId="0" applyAlignment="1">
      <alignment horizontal="right"/>
    </xf>
    <xf numFmtId="0" fontId="7" fillId="0" borderId="1"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shrinkToFit="1"/>
    </xf>
    <xf numFmtId="0" fontId="8" fillId="0" borderId="0" xfId="0" applyFont="1" applyBorder="1" applyAlignment="1">
      <alignment horizontal="left" vertical="center"/>
    </xf>
    <xf numFmtId="0" fontId="8" fillId="0" borderId="0" xfId="0" applyFont="1" applyFill="1" applyBorder="1" applyAlignment="1">
      <alignment horizontal="center" vertical="center"/>
    </xf>
    <xf numFmtId="0" fontId="5" fillId="0" borderId="0" xfId="0" applyFont="1" applyBorder="1" applyAlignment="1">
      <alignment horizontal="left" vertical="center"/>
    </xf>
    <xf numFmtId="176" fontId="0" fillId="0" borderId="0" xfId="0" applyNumberFormat="1" applyBorder="1" applyAlignment="1">
      <alignment horizontal="center" vertical="center"/>
    </xf>
    <xf numFmtId="179"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8" fillId="0" borderId="1" xfId="0" applyFont="1" applyFill="1" applyBorder="1" applyAlignment="1">
      <alignment horizontal="center" vertical="center"/>
    </xf>
    <xf numFmtId="177" fontId="8" fillId="0" borderId="5" xfId="0" applyNumberFormat="1" applyFont="1" applyBorder="1" applyAlignment="1">
      <alignment horizontal="center" vertical="center"/>
    </xf>
    <xf numFmtId="178" fontId="8" fillId="0" borderId="1" xfId="0" applyNumberFormat="1" applyFont="1" applyBorder="1" applyAlignment="1">
      <alignment vertical="center"/>
    </xf>
    <xf numFmtId="177" fontId="8" fillId="0" borderId="1" xfId="0" applyNumberFormat="1" applyFont="1" applyBorder="1" applyAlignment="1">
      <alignment vertical="center"/>
    </xf>
    <xf numFmtId="178" fontId="0" fillId="0" borderId="1" xfId="0" applyNumberForma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xf>
    <xf numFmtId="0" fontId="8" fillId="0" borderId="0" xfId="0" applyFont="1" applyBorder="1" applyAlignment="1">
      <alignment horizontal="center" vertical="center"/>
    </xf>
    <xf numFmtId="0" fontId="0" fillId="3"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shrinkToFit="1"/>
    </xf>
    <xf numFmtId="0" fontId="0" fillId="0" borderId="5"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8" fillId="0" borderId="6" xfId="0" applyFont="1" applyBorder="1" applyAlignment="1">
      <alignment horizontal="center" vertical="center"/>
    </xf>
    <xf numFmtId="0" fontId="0" fillId="0" borderId="1" xfId="0" applyBorder="1" applyAlignment="1">
      <alignment horizontal="center" vertical="center"/>
    </xf>
    <xf numFmtId="0" fontId="8" fillId="0" borderId="2" xfId="0" applyFont="1" applyBorder="1" applyAlignment="1">
      <alignment horizontal="left" vertical="center"/>
    </xf>
    <xf numFmtId="0" fontId="8" fillId="0" borderId="2" xfId="0" applyFont="1" applyBorder="1" applyAlignment="1">
      <alignment horizontal="center" vertical="center" wrapText="1"/>
    </xf>
    <xf numFmtId="0" fontId="0" fillId="0" borderId="0" xfId="0" applyAlignment="1">
      <alignment horizontal="center"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178" fontId="0" fillId="0" borderId="5" xfId="0" applyNumberFormat="1" applyBorder="1" applyAlignment="1">
      <alignment horizontal="center" vertical="center"/>
    </xf>
    <xf numFmtId="0" fontId="3" fillId="0" borderId="10" xfId="0" applyFont="1" applyBorder="1" applyAlignment="1">
      <alignment horizontal="center" vertical="center"/>
    </xf>
    <xf numFmtId="177" fontId="0" fillId="0" borderId="1" xfId="0" applyNumberFormat="1" applyBorder="1" applyAlignment="1">
      <alignment horizontal="center" vertical="center"/>
    </xf>
    <xf numFmtId="177" fontId="0" fillId="0" borderId="5" xfId="0" applyNumberFormat="1" applyBorder="1" applyAlignment="1">
      <alignment horizontal="center" vertical="center"/>
    </xf>
    <xf numFmtId="0" fontId="8" fillId="0" borderId="5" xfId="0" applyFont="1" applyBorder="1" applyAlignment="1">
      <alignment horizontal="left" vertical="center"/>
    </xf>
    <xf numFmtId="0" fontId="0" fillId="0" borderId="2" xfId="0" applyBorder="1" applyAlignment="1">
      <alignment horizontal="center" vertical="center" shrinkToFit="1"/>
    </xf>
    <xf numFmtId="0" fontId="8" fillId="0" borderId="1" xfId="0" applyFont="1" applyBorder="1" applyAlignment="1">
      <alignment vertical="center" wrapText="1"/>
    </xf>
    <xf numFmtId="182" fontId="0" fillId="0" borderId="2" xfId="0" applyNumberFormat="1" applyBorder="1" applyAlignment="1">
      <alignment horizontal="center" vertical="center"/>
    </xf>
    <xf numFmtId="9" fontId="8" fillId="4" borderId="5" xfId="0" applyNumberFormat="1" applyFont="1" applyFill="1" applyBorder="1" applyAlignment="1">
      <alignment horizontal="center" vertical="center"/>
    </xf>
    <xf numFmtId="0" fontId="15" fillId="0" borderId="0" xfId="0" applyFont="1" applyAlignment="1">
      <alignment vertical="center"/>
    </xf>
    <xf numFmtId="0" fontId="3" fillId="0" borderId="10" xfId="0" applyFont="1" applyBorder="1" applyAlignment="1">
      <alignment horizontal="left" vertical="center"/>
    </xf>
    <xf numFmtId="0" fontId="7" fillId="0" borderId="0" xfId="0" applyFont="1" applyBorder="1" applyAlignment="1">
      <alignment horizontal="center" vertical="center"/>
    </xf>
    <xf numFmtId="0" fontId="0" fillId="0" borderId="2" xfId="0" applyBorder="1" applyAlignment="1">
      <alignment horizontal="left"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vertical="center"/>
    </xf>
    <xf numFmtId="0" fontId="8" fillId="0" borderId="1"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8" xfId="0" applyBorder="1" applyAlignment="1">
      <alignment horizontal="lef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5"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right" vertical="center"/>
    </xf>
    <xf numFmtId="0" fontId="8" fillId="0" borderId="0" xfId="0" applyFont="1" applyFill="1" applyBorder="1" applyAlignment="1">
      <alignment horizontal="left" vertical="center"/>
    </xf>
    <xf numFmtId="0" fontId="3" fillId="0" borderId="4" xfId="0" applyFont="1" applyBorder="1" applyAlignment="1">
      <alignment vertical="center"/>
    </xf>
    <xf numFmtId="0" fontId="0" fillId="0" borderId="2" xfId="0" applyBorder="1" applyAlignment="1">
      <alignment vertical="center"/>
    </xf>
    <xf numFmtId="0" fontId="0" fillId="0" borderId="2" xfId="0" applyFont="1" applyBorder="1" applyAlignment="1">
      <alignment vertical="center"/>
    </xf>
    <xf numFmtId="0" fontId="15" fillId="0" borderId="0" xfId="0" applyFont="1" applyAlignment="1">
      <alignment vertical="top" wrapText="1" shrinkToFit="1"/>
    </xf>
    <xf numFmtId="182" fontId="0" fillId="0" borderId="2" xfId="0" applyNumberFormat="1" applyBorder="1" applyAlignment="1">
      <alignment horizontal="center" vertical="center" wrapText="1"/>
    </xf>
    <xf numFmtId="180" fontId="8" fillId="3" borderId="1" xfId="0" applyNumberFormat="1" applyFont="1" applyFill="1" applyBorder="1" applyAlignment="1">
      <alignment horizontal="center" vertical="center"/>
    </xf>
    <xf numFmtId="178" fontId="8" fillId="3" borderId="1" xfId="0" applyNumberFormat="1" applyFont="1" applyFill="1" applyBorder="1" applyAlignment="1">
      <alignment horizontal="center" vertical="center"/>
    </xf>
    <xf numFmtId="182" fontId="7" fillId="0" borderId="1" xfId="0" applyNumberFormat="1" applyFont="1" applyBorder="1" applyAlignment="1">
      <alignment horizontal="center" vertical="center"/>
    </xf>
    <xf numFmtId="182" fontId="8" fillId="0" borderId="4"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8" fillId="0" borderId="2" xfId="0" applyFont="1" applyBorder="1" applyAlignment="1">
      <alignment horizontal="left" vertical="center"/>
    </xf>
    <xf numFmtId="0" fontId="8" fillId="0" borderId="2" xfId="0" applyFont="1"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183" fontId="0" fillId="0" borderId="1" xfId="0" applyNumberFormat="1" applyBorder="1" applyAlignment="1">
      <alignment horizontal="center" vertical="center"/>
    </xf>
    <xf numFmtId="181" fontId="8" fillId="0" borderId="4" xfId="0" applyNumberFormat="1" applyFont="1" applyBorder="1" applyAlignment="1">
      <alignment horizontal="center" vertical="center"/>
    </xf>
    <xf numFmtId="183" fontId="7" fillId="0" borderId="2" xfId="0" applyNumberFormat="1" applyFont="1" applyBorder="1" applyAlignment="1">
      <alignment horizontal="center" vertical="center"/>
    </xf>
    <xf numFmtId="183" fontId="8" fillId="0" borderId="1" xfId="0" applyNumberFormat="1" applyFont="1" applyBorder="1" applyAlignment="1">
      <alignment horizontal="center" vertical="center"/>
    </xf>
    <xf numFmtId="176" fontId="8" fillId="0" borderId="5" xfId="0" applyNumberFormat="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2" xfId="0" applyBorder="1" applyAlignment="1">
      <alignment horizontal="center" vertical="center"/>
    </xf>
    <xf numFmtId="0" fontId="8" fillId="0" borderId="2" xfId="0" applyFont="1" applyBorder="1" applyAlignment="1">
      <alignment horizontal="left" vertical="center"/>
    </xf>
    <xf numFmtId="0" fontId="0" fillId="0" borderId="2" xfId="0" applyBorder="1" applyAlignment="1">
      <alignment horizontal="center" vertical="center" wrapText="1"/>
    </xf>
    <xf numFmtId="0" fontId="8" fillId="0" borderId="4" xfId="0" applyFont="1" applyBorder="1" applyAlignment="1">
      <alignment horizontal="center" vertical="center"/>
    </xf>
    <xf numFmtId="0" fontId="0" fillId="0" borderId="0" xfId="0" applyAlignment="1">
      <alignment horizontal="center" vertical="center"/>
    </xf>
    <xf numFmtId="0" fontId="8" fillId="0" borderId="2"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8" fillId="0" borderId="0" xfId="0" applyFont="1" applyFill="1" applyBorder="1" applyAlignment="1">
      <alignment horizontal="center" vertical="center"/>
    </xf>
    <xf numFmtId="0" fontId="3" fillId="0" borderId="10" xfId="0" applyFont="1" applyBorder="1" applyAlignment="1">
      <alignment horizontal="center" vertical="center"/>
    </xf>
    <xf numFmtId="0" fontId="0" fillId="0" borderId="13" xfId="0" applyBorder="1" applyAlignment="1">
      <alignment horizontal="left" vertical="center"/>
    </xf>
    <xf numFmtId="0" fontId="0" fillId="0" borderId="8" xfId="0" applyBorder="1" applyAlignment="1">
      <alignment horizontal="left" vertical="center"/>
    </xf>
    <xf numFmtId="0" fontId="8" fillId="0" borderId="6" xfId="0" applyFont="1" applyBorder="1" applyAlignment="1">
      <alignment horizontal="center" vertical="center"/>
    </xf>
    <xf numFmtId="176" fontId="8" fillId="0" borderId="14" xfId="0" applyNumberFormat="1" applyFont="1" applyBorder="1" applyAlignment="1">
      <alignment horizontal="center" vertical="center"/>
    </xf>
    <xf numFmtId="0" fontId="8" fillId="0" borderId="0" xfId="0" applyFont="1" applyBorder="1" applyAlignment="1">
      <alignment horizontal="center" vertical="center" shrinkToFit="1"/>
    </xf>
    <xf numFmtId="180" fontId="8" fillId="0" borderId="0" xfId="0" applyNumberFormat="1" applyFont="1" applyFill="1" applyBorder="1" applyAlignment="1">
      <alignment horizontal="center" vertical="center"/>
    </xf>
    <xf numFmtId="0" fontId="3" fillId="0" borderId="2"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horizontal="center" vertical="center"/>
    </xf>
    <xf numFmtId="177" fontId="0" fillId="0" borderId="1" xfId="0" applyNumberFormat="1" applyFill="1" applyBorder="1" applyAlignment="1">
      <alignment horizontal="center" vertical="center"/>
    </xf>
    <xf numFmtId="182" fontId="7" fillId="0" borderId="2" xfId="0" applyNumberFormat="1"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3" fillId="0" borderId="2" xfId="0" applyFont="1" applyBorder="1" applyAlignment="1">
      <alignment horizontal="left" vertical="center" wrapText="1"/>
    </xf>
    <xf numFmtId="0" fontId="0" fillId="0" borderId="0" xfId="0" applyBorder="1" applyAlignment="1">
      <alignment horizontal="center" vertical="center"/>
    </xf>
    <xf numFmtId="0" fontId="0" fillId="0" borderId="2" xfId="0" applyBorder="1" applyAlignment="1">
      <alignment horizontal="center"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Border="1" applyAlignment="1">
      <alignment horizontal="center" vertical="center"/>
    </xf>
    <xf numFmtId="0" fontId="0" fillId="0" borderId="0" xfId="0" applyAlignment="1">
      <alignment horizontal="center" vertical="center"/>
    </xf>
    <xf numFmtId="0" fontId="8" fillId="0" borderId="4" xfId="0" applyFont="1" applyBorder="1" applyAlignment="1">
      <alignment horizontal="center" vertical="center"/>
    </xf>
    <xf numFmtId="0" fontId="3" fillId="0" borderId="8" xfId="0" applyFont="1" applyBorder="1" applyAlignment="1">
      <alignment horizontal="center" vertical="center"/>
    </xf>
    <xf numFmtId="0" fontId="8" fillId="0" borderId="4" xfId="0" applyFont="1" applyBorder="1" applyAlignment="1">
      <alignment horizontal="left" vertical="center" wrapText="1"/>
    </xf>
    <xf numFmtId="0" fontId="3" fillId="0" borderId="1" xfId="0" applyFont="1" applyBorder="1" applyAlignment="1">
      <alignment vertical="center"/>
    </xf>
    <xf numFmtId="0" fontId="0" fillId="0" borderId="1" xfId="0" applyFont="1" applyBorder="1" applyAlignment="1">
      <alignment vertical="center"/>
    </xf>
    <xf numFmtId="0" fontId="7" fillId="0" borderId="1" xfId="0" applyFont="1" applyFill="1" applyBorder="1" applyAlignment="1">
      <alignment vertical="center"/>
    </xf>
    <xf numFmtId="0" fontId="18" fillId="0" borderId="0" xfId="0" applyFont="1" applyAlignment="1">
      <alignment horizontal="left" vertical="center"/>
    </xf>
    <xf numFmtId="182" fontId="3" fillId="0" borderId="2" xfId="0" applyNumberFormat="1" applyFont="1" applyBorder="1" applyAlignment="1">
      <alignment horizontal="center" vertical="center"/>
    </xf>
    <xf numFmtId="182" fontId="0" fillId="0" borderId="2" xfId="0" applyNumberFormat="1" applyFill="1" applyBorder="1" applyAlignment="1">
      <alignment horizontal="center" vertical="center"/>
    </xf>
    <xf numFmtId="182" fontId="0" fillId="0" borderId="1" xfId="0" applyNumberFormat="1" applyBorder="1" applyAlignment="1">
      <alignment horizontal="center" vertical="center"/>
    </xf>
    <xf numFmtId="182" fontId="0" fillId="0" borderId="1" xfId="0" applyNumberFormat="1" applyFill="1" applyBorder="1" applyAlignment="1">
      <alignment horizontal="center" vertical="center"/>
    </xf>
    <xf numFmtId="176" fontId="7" fillId="0" borderId="1" xfId="0" applyNumberFormat="1" applyFont="1" applyBorder="1" applyAlignment="1">
      <alignment vertical="center"/>
    </xf>
    <xf numFmtId="183" fontId="8" fillId="0" borderId="4" xfId="0" applyNumberFormat="1" applyFont="1" applyBorder="1" applyAlignment="1">
      <alignment horizontal="center" vertical="center"/>
    </xf>
    <xf numFmtId="0" fontId="21" fillId="0" borderId="0" xfId="0" applyFont="1" applyAlignment="1">
      <alignment horizontal="left" vertical="center"/>
    </xf>
    <xf numFmtId="176" fontId="0" fillId="0" borderId="1" xfId="0" applyNumberFormat="1" applyFill="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left" vertical="center" shrinkToFit="1"/>
    </xf>
    <xf numFmtId="0" fontId="0" fillId="0" borderId="7"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8" fillId="0" borderId="2" xfId="0" applyFont="1" applyBorder="1" applyAlignment="1">
      <alignment horizontal="left" vertical="center" wrapText="1"/>
    </xf>
    <xf numFmtId="0" fontId="19" fillId="0" borderId="0" xfId="0" applyFont="1" applyBorder="1" applyAlignment="1">
      <alignment horizontal="left" vertical="center" wrapText="1"/>
    </xf>
    <xf numFmtId="0" fontId="20" fillId="0" borderId="0" xfId="0" applyFont="1" applyBorder="1" applyAlignment="1">
      <alignmen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10" fillId="2" borderId="5" xfId="0" applyFont="1" applyFill="1" applyBorder="1" applyAlignment="1">
      <alignment horizontal="center" vertical="center"/>
    </xf>
    <xf numFmtId="0" fontId="11" fillId="0" borderId="12" xfId="0" applyFont="1" applyBorder="1" applyAlignment="1">
      <alignment vertical="center"/>
    </xf>
    <xf numFmtId="0" fontId="11" fillId="0" borderId="6" xfId="0" applyFont="1" applyBorder="1" applyAlignment="1">
      <alignment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181" fontId="0" fillId="0" borderId="1" xfId="0" applyNumberFormat="1" applyBorder="1" applyAlignment="1">
      <alignment horizontal="center" vertical="center"/>
    </xf>
    <xf numFmtId="0" fontId="8" fillId="0" borderId="5" xfId="0" applyFont="1" applyFill="1" applyBorder="1" applyAlignment="1">
      <alignment horizontal="center" vertical="center" shrinkToFit="1"/>
    </xf>
    <xf numFmtId="0" fontId="0" fillId="0" borderId="6" xfId="0" applyBorder="1" applyAlignment="1">
      <alignment horizontal="center" vertical="center" shrinkToFit="1"/>
    </xf>
    <xf numFmtId="185" fontId="0" fillId="0" borderId="1" xfId="0" applyNumberFormat="1" applyBorder="1" applyAlignment="1">
      <alignment horizontal="center" vertical="center"/>
    </xf>
    <xf numFmtId="0" fontId="7" fillId="0" borderId="2" xfId="0" applyFont="1" applyBorder="1" applyAlignment="1">
      <alignment horizontal="left" vertical="center"/>
    </xf>
    <xf numFmtId="0" fontId="0" fillId="0" borderId="4" xfId="0" applyBorder="1" applyAlignment="1">
      <alignment horizontal="center" vertical="center"/>
    </xf>
    <xf numFmtId="184" fontId="0" fillId="0" borderId="4" xfId="0" applyNumberFormat="1" applyBorder="1" applyAlignment="1">
      <alignment horizontal="center" vertical="center"/>
    </xf>
    <xf numFmtId="184" fontId="0" fillId="0" borderId="1" xfId="0" applyNumberFormat="1" applyBorder="1" applyAlignment="1">
      <alignment horizontal="center" vertical="center"/>
    </xf>
    <xf numFmtId="178" fontId="8" fillId="0" borderId="1" xfId="0" applyNumberFormat="1" applyFont="1" applyBorder="1" applyAlignment="1">
      <alignment horizontal="center" vertical="center"/>
    </xf>
    <xf numFmtId="3" fontId="0" fillId="0" borderId="1" xfId="0" applyNumberFormat="1" applyBorder="1" applyAlignment="1">
      <alignment horizontal="center" vertical="center"/>
    </xf>
    <xf numFmtId="0" fontId="8" fillId="0" borderId="1" xfId="0" applyFon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wrapText="1"/>
    </xf>
    <xf numFmtId="0" fontId="7" fillId="0" borderId="1" xfId="0" applyFont="1" applyBorder="1" applyAlignment="1">
      <alignment horizontal="center" vertical="center"/>
    </xf>
    <xf numFmtId="0" fontId="14" fillId="0" borderId="7" xfId="0" applyFont="1" applyBorder="1" applyAlignment="1">
      <alignment horizontal="left" vertical="top" shrinkToFit="1"/>
    </xf>
    <xf numFmtId="0" fontId="0" fillId="0" borderId="7" xfId="0" applyBorder="1" applyAlignment="1">
      <alignment vertical="top" shrinkToFit="1"/>
    </xf>
    <xf numFmtId="0" fontId="8" fillId="0" borderId="0" xfId="0" applyFont="1" applyFill="1" applyBorder="1" applyAlignment="1">
      <alignment horizontal="center" vertical="center"/>
    </xf>
    <xf numFmtId="0" fontId="0" fillId="0" borderId="1" xfId="0" applyBorder="1" applyAlignment="1">
      <alignment horizontal="left" vertical="center" shrinkToFit="1"/>
    </xf>
    <xf numFmtId="0" fontId="0" fillId="0" borderId="1" xfId="0" applyBorder="1" applyAlignment="1">
      <alignment horizontal="left"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8" fillId="0" borderId="4" xfId="0" applyFont="1" applyBorder="1" applyAlignment="1">
      <alignment horizontal="lef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horizontal="center" vertical="center"/>
    </xf>
    <xf numFmtId="182" fontId="7" fillId="0" borderId="2" xfId="0" applyNumberFormat="1" applyFont="1" applyBorder="1" applyAlignment="1">
      <alignment horizontal="center" vertical="center"/>
    </xf>
    <xf numFmtId="182" fontId="0" fillId="0" borderId="4" xfId="0" applyNumberFormat="1" applyBorder="1" applyAlignment="1">
      <alignment horizontal="center" vertical="center"/>
    </xf>
    <xf numFmtId="0" fontId="7" fillId="0" borderId="2" xfId="0" applyFont="1" applyBorder="1" applyAlignment="1">
      <alignment horizontal="left" vertical="center" wrapText="1"/>
    </xf>
    <xf numFmtId="0" fontId="11" fillId="2" borderId="12" xfId="0" applyFont="1" applyFill="1" applyBorder="1" applyAlignment="1">
      <alignment horizontal="center" vertical="center"/>
    </xf>
    <xf numFmtId="0" fontId="11" fillId="2" borderId="6" xfId="0" applyFont="1" applyFill="1" applyBorder="1" applyAlignment="1">
      <alignment horizontal="center" vertical="center"/>
    </xf>
    <xf numFmtId="0" fontId="0" fillId="2" borderId="1" xfId="0" applyFill="1" applyBorder="1" applyAlignment="1">
      <alignment horizontal="center" vertical="center"/>
    </xf>
    <xf numFmtId="0" fontId="7" fillId="0" borderId="8"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3"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6" xfId="0" applyFont="1" applyFill="1" applyBorder="1" applyAlignment="1">
      <alignment horizontal="center" vertical="center"/>
    </xf>
    <xf numFmtId="0" fontId="16" fillId="0" borderId="13" xfId="0" applyFont="1" applyBorder="1" applyAlignment="1">
      <alignment horizontal="center" vertical="center"/>
    </xf>
    <xf numFmtId="0" fontId="0" fillId="0" borderId="13" xfId="0"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182" fontId="8" fillId="0" borderId="2" xfId="0" applyNumberFormat="1"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0" fillId="0" borderId="13" xfId="0" applyFill="1" applyBorder="1" applyAlignment="1">
      <alignment horizontal="center" vertical="center"/>
    </xf>
    <xf numFmtId="0" fontId="0" fillId="0" borderId="8" xfId="0" applyFill="1" applyBorder="1" applyAlignment="1">
      <alignment horizontal="center" vertical="center"/>
    </xf>
    <xf numFmtId="0" fontId="14" fillId="0" borderId="7" xfId="0" applyFont="1" applyBorder="1" applyAlignment="1">
      <alignment horizontal="left" vertical="center" wrapText="1"/>
    </xf>
    <xf numFmtId="0" fontId="15" fillId="0" borderId="7" xfId="0" applyFont="1" applyBorder="1" applyAlignment="1">
      <alignment horizontal="left" vertical="center" wrapText="1"/>
    </xf>
    <xf numFmtId="0" fontId="15" fillId="0" borderId="0" xfId="0" applyFont="1" applyAlignment="1">
      <alignment horizontal="left" vertical="center" wrapText="1"/>
    </xf>
    <xf numFmtId="0" fontId="14" fillId="0" borderId="7" xfId="0" applyFont="1" applyBorder="1" applyAlignment="1">
      <alignment horizontal="left" vertical="top" wrapText="1" shrinkToFit="1"/>
    </xf>
    <xf numFmtId="0" fontId="0" fillId="0" borderId="7" xfId="0" applyBorder="1" applyAlignment="1">
      <alignment vertical="top" wrapText="1" shrinkToFit="1"/>
    </xf>
    <xf numFmtId="0" fontId="0" fillId="0" borderId="9" xfId="0" applyBorder="1" applyAlignment="1">
      <alignment vertical="top" wrapText="1" shrinkToFit="1"/>
    </xf>
    <xf numFmtId="0" fontId="7" fillId="0" borderId="3" xfId="0" applyFont="1" applyBorder="1" applyAlignment="1">
      <alignment horizontal="left" vertical="center" wrapText="1"/>
    </xf>
    <xf numFmtId="0" fontId="7" fillId="0" borderId="3" xfId="0" applyFont="1" applyBorder="1" applyAlignment="1">
      <alignment horizontal="left" vertical="center"/>
    </xf>
    <xf numFmtId="0" fontId="0" fillId="0" borderId="2" xfId="0" applyBorder="1" applyAlignment="1">
      <alignment horizontal="center" vertical="center"/>
    </xf>
    <xf numFmtId="182" fontId="0" fillId="0" borderId="2" xfId="0" applyNumberFormat="1" applyBorder="1" applyAlignment="1">
      <alignment horizontal="center" vertical="center"/>
    </xf>
    <xf numFmtId="0" fontId="0" fillId="0" borderId="2" xfId="0" applyFont="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7" fillId="0" borderId="1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3" xfId="0" applyFont="1" applyFill="1" applyBorder="1" applyAlignment="1">
      <alignment horizontal="center" vertical="center"/>
    </xf>
    <xf numFmtId="0" fontId="7"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4F9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2057400</xdr:colOff>
      <xdr:row>11</xdr:row>
      <xdr:rowOff>0</xdr:rowOff>
    </xdr:from>
    <xdr:ext cx="184731" cy="264560"/>
    <xdr:sp macro="" textlink="">
      <xdr:nvSpPr>
        <xdr:cNvPr id="2" name="テキスト ボックス 1"/>
        <xdr:cNvSpPr txBox="1"/>
      </xdr:nvSpPr>
      <xdr:spPr>
        <a:xfrm>
          <a:off x="8353425" y="25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884705</xdr:colOff>
      <xdr:row>0</xdr:row>
      <xdr:rowOff>64433</xdr:rowOff>
    </xdr:from>
    <xdr:to>
      <xdr:col>3</xdr:col>
      <xdr:colOff>1898838</xdr:colOff>
      <xdr:row>0</xdr:row>
      <xdr:rowOff>336176</xdr:rowOff>
    </xdr:to>
    <xdr:grpSp>
      <xdr:nvGrpSpPr>
        <xdr:cNvPr id="3" name="グループ化 2"/>
        <xdr:cNvGrpSpPr/>
      </xdr:nvGrpSpPr>
      <xdr:grpSpPr>
        <a:xfrm>
          <a:off x="1850812" y="64433"/>
          <a:ext cx="3000776" cy="271743"/>
          <a:chOff x="2763371" y="120093"/>
          <a:chExt cx="3075454" cy="276225"/>
        </a:xfrm>
      </xdr:grpSpPr>
      <xdr:sp macro="" textlink="">
        <xdr:nvSpPr>
          <xdr:cNvPr id="4" name="正方形/長方形 3"/>
          <xdr:cNvSpPr/>
        </xdr:nvSpPr>
        <xdr:spPr>
          <a:xfrm>
            <a:off x="2763371" y="184336"/>
            <a:ext cx="493059" cy="156882"/>
          </a:xfrm>
          <a:prstGeom prst="rect">
            <a:avLst/>
          </a:prstGeom>
          <a:solidFill>
            <a:srgbClr val="D4F9FE"/>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28" name="Text Box 4"/>
          <xdr:cNvSpPr txBox="1">
            <a:spLocks noChangeArrowheads="1"/>
          </xdr:cNvSpPr>
        </xdr:nvSpPr>
        <xdr:spPr bwMode="auto">
          <a:xfrm>
            <a:off x="3305175" y="120093"/>
            <a:ext cx="2533650" cy="276225"/>
          </a:xfrm>
          <a:prstGeom prst="rect">
            <a:avLst/>
          </a:prstGeom>
          <a:noFill/>
          <a:ln w="9525">
            <a:noFill/>
            <a:miter lim="800000"/>
            <a:headEnd/>
            <a:tailEnd/>
          </a:ln>
        </xdr:spPr>
        <xdr:txBody>
          <a:bodyPr vertOverflow="clip" wrap="square" lIns="27432" tIns="41148" rIns="0" bIns="0" anchor="t" upright="1"/>
          <a:lstStyle/>
          <a:p>
            <a:pPr algn="l" rtl="0">
              <a:lnSpc>
                <a:spcPts val="1700"/>
              </a:lnSpc>
              <a:defRPr sz="1000"/>
            </a:pPr>
            <a:r>
              <a:rPr lang="ja-JP" altLang="en-US" sz="1100" b="0" i="0" u="none" strike="noStrike" baseline="0">
                <a:solidFill>
                  <a:srgbClr val="000000"/>
                </a:solidFill>
                <a:latin typeface="游ゴシック"/>
                <a:ea typeface="游ゴシック"/>
              </a:rPr>
              <a:t>：手入力</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7"/>
  <sheetViews>
    <sheetView tabSelected="1" zoomScale="70" zoomScaleNormal="70" workbookViewId="0">
      <selection activeCell="L77" sqref="L77"/>
    </sheetView>
  </sheetViews>
  <sheetFormatPr defaultColWidth="9" defaultRowHeight="18.75" x14ac:dyDescent="0.4"/>
  <cols>
    <col min="1" max="1" width="1.625" style="7" customWidth="1"/>
    <col min="2" max="2" width="11" style="7" customWidth="1"/>
    <col min="3" max="3" width="26" style="7" customWidth="1"/>
    <col min="4" max="4" width="34.625" style="7" customWidth="1"/>
    <col min="5" max="5" width="12.375" style="7" customWidth="1"/>
    <col min="6" max="6" width="27.625" style="7" customWidth="1"/>
    <col min="7" max="7" width="24.625" style="18" customWidth="1"/>
    <col min="8" max="8" width="22.5" style="7" bestFit="1" customWidth="1"/>
    <col min="9" max="9" width="37.75" style="7" bestFit="1" customWidth="1"/>
    <col min="10" max="10" width="3.625" style="7" customWidth="1"/>
    <col min="11" max="11" width="13" style="20" bestFit="1" customWidth="1"/>
    <col min="12" max="12" width="12.25" style="20" bestFit="1" customWidth="1"/>
    <col min="13" max="14" width="1.625" style="20" customWidth="1"/>
    <col min="15" max="15" width="1.625" style="7" customWidth="1"/>
    <col min="16" max="17" width="19.25" style="7" hidden="1" customWidth="1"/>
    <col min="18" max="18" width="8.625" style="7" hidden="1" customWidth="1"/>
    <col min="19" max="19" width="21.375" style="7" hidden="1" customWidth="1"/>
    <col min="20" max="20" width="11.625" style="7" hidden="1" customWidth="1"/>
    <col min="21" max="16384" width="9" style="7"/>
  </cols>
  <sheetData>
    <row r="1" spans="2:21" s="18" customFormat="1" ht="33" x14ac:dyDescent="0.4">
      <c r="B1" s="14" t="s">
        <v>35</v>
      </c>
      <c r="D1" s="27"/>
      <c r="K1" s="20"/>
      <c r="L1" s="20"/>
      <c r="M1" s="20"/>
      <c r="N1" s="20"/>
    </row>
    <row r="2" spans="2:21" s="48" customFormat="1" ht="18.75" customHeight="1" x14ac:dyDescent="0.4">
      <c r="B2" s="130"/>
      <c r="C2" s="130"/>
      <c r="D2" s="130"/>
      <c r="F2" s="130"/>
      <c r="G2" s="133"/>
      <c r="H2" s="130"/>
      <c r="I2" s="68"/>
    </row>
    <row r="3" spans="2:21" s="48" customFormat="1" ht="18.75" customHeight="1" x14ac:dyDescent="0.4">
      <c r="B3" s="209" t="s">
        <v>74</v>
      </c>
      <c r="C3" s="209"/>
      <c r="D3" s="54">
        <v>235</v>
      </c>
      <c r="F3" s="90" t="s">
        <v>43</v>
      </c>
      <c r="G3" s="109">
        <v>12</v>
      </c>
      <c r="H3" s="30"/>
      <c r="I3" s="30"/>
    </row>
    <row r="4" spans="2:21" s="48" customFormat="1" ht="18.75" customHeight="1" x14ac:dyDescent="0.4">
      <c r="B4" s="210" t="s">
        <v>155</v>
      </c>
      <c r="C4" s="210"/>
      <c r="D4" s="46">
        <v>1060</v>
      </c>
      <c r="F4" s="90" t="s">
        <v>93</v>
      </c>
      <c r="G4" s="110">
        <v>200</v>
      </c>
      <c r="H4" s="30"/>
      <c r="I4" s="30"/>
    </row>
    <row r="5" spans="2:21" s="48" customFormat="1" ht="18.75" customHeight="1" x14ac:dyDescent="0.4">
      <c r="B5" s="210" t="s">
        <v>75</v>
      </c>
      <c r="C5" s="210"/>
      <c r="D5" s="55">
        <v>0.8</v>
      </c>
      <c r="F5" s="32" t="s">
        <v>94</v>
      </c>
      <c r="G5" s="109">
        <v>29</v>
      </c>
      <c r="H5" s="29"/>
      <c r="I5" s="30"/>
    </row>
    <row r="6" spans="2:21" s="18" customFormat="1" ht="18.75" customHeight="1" x14ac:dyDescent="0.4">
      <c r="B6" s="210" t="s">
        <v>78</v>
      </c>
      <c r="C6" s="210"/>
      <c r="D6" s="173">
        <f>D3*D4*D5*10^-3</f>
        <v>199.28</v>
      </c>
      <c r="F6" s="90" t="s">
        <v>55</v>
      </c>
      <c r="G6" s="109">
        <v>500</v>
      </c>
      <c r="H6" s="29"/>
      <c r="I6" s="30"/>
      <c r="K6" s="20"/>
      <c r="L6" s="20"/>
      <c r="M6" s="20"/>
      <c r="N6" s="20"/>
      <c r="P6" s="39"/>
      <c r="Q6" s="183" t="s">
        <v>38</v>
      </c>
      <c r="R6" s="184"/>
      <c r="S6" s="183" t="s">
        <v>39</v>
      </c>
      <c r="T6" s="184"/>
    </row>
    <row r="7" spans="2:21" s="18" customFormat="1" ht="18.75" customHeight="1" x14ac:dyDescent="0.4">
      <c r="B7" s="256" t="s">
        <v>177</v>
      </c>
      <c r="C7" s="257"/>
      <c r="D7" s="257"/>
      <c r="F7" s="32" t="s">
        <v>56</v>
      </c>
      <c r="G7" s="109">
        <v>25</v>
      </c>
      <c r="H7" s="102"/>
      <c r="I7" s="33"/>
      <c r="K7" s="20"/>
      <c r="L7" s="20"/>
      <c r="M7" s="20"/>
      <c r="N7" s="20"/>
      <c r="P7" s="39" t="s">
        <v>36</v>
      </c>
      <c r="Q7" s="39">
        <v>44.8</v>
      </c>
      <c r="R7" s="39" t="s">
        <v>41</v>
      </c>
      <c r="S7" s="28">
        <v>2.23</v>
      </c>
      <c r="T7" s="28" t="s">
        <v>47</v>
      </c>
      <c r="U7" s="41"/>
    </row>
    <row r="8" spans="2:21" s="18" customFormat="1" ht="18.75" customHeight="1" x14ac:dyDescent="0.4">
      <c r="B8" s="258"/>
      <c r="C8" s="258"/>
      <c r="D8" s="258"/>
      <c r="F8" s="32" t="s">
        <v>95</v>
      </c>
      <c r="G8" s="109">
        <v>21</v>
      </c>
      <c r="H8" s="34"/>
      <c r="I8" s="103"/>
      <c r="K8" s="20"/>
      <c r="L8" s="20"/>
      <c r="M8" s="20"/>
      <c r="N8" s="20"/>
      <c r="P8" s="39" t="s">
        <v>37</v>
      </c>
      <c r="Q8" s="39">
        <v>0</v>
      </c>
      <c r="R8" s="39" t="s">
        <v>42</v>
      </c>
      <c r="S8" s="31">
        <v>0</v>
      </c>
      <c r="T8" s="31" t="s">
        <v>48</v>
      </c>
    </row>
    <row r="9" spans="2:21" s="48" customFormat="1" ht="18.75" customHeight="1" x14ac:dyDescent="0.4">
      <c r="B9" s="130"/>
      <c r="C9" s="130"/>
      <c r="D9" s="130"/>
      <c r="F9" s="32" t="s">
        <v>174</v>
      </c>
      <c r="G9" s="109">
        <v>81</v>
      </c>
      <c r="H9" s="34"/>
      <c r="I9" s="34"/>
      <c r="P9" s="47"/>
      <c r="Q9" s="47"/>
      <c r="R9" s="47"/>
      <c r="S9" s="31"/>
      <c r="T9" s="31"/>
    </row>
    <row r="10" spans="2:21" s="18" customFormat="1" ht="18.75" customHeight="1" x14ac:dyDescent="0.4">
      <c r="B10" s="130"/>
      <c r="C10" s="130"/>
      <c r="D10" s="130"/>
      <c r="F10" s="141"/>
      <c r="G10" s="142"/>
      <c r="H10" s="20"/>
      <c r="I10" s="20"/>
    </row>
    <row r="11" spans="2:21" s="52" customFormat="1" ht="19.5" customHeight="1" x14ac:dyDescent="0.4">
      <c r="B11" s="97" t="s">
        <v>54</v>
      </c>
      <c r="C11" s="98"/>
      <c r="D11" s="172" t="s">
        <v>118</v>
      </c>
      <c r="O11" s="35"/>
      <c r="P11" s="21"/>
      <c r="Q11" s="21"/>
      <c r="R11" s="21"/>
    </row>
    <row r="12" spans="2:21" x14ac:dyDescent="0.4">
      <c r="B12" s="9" t="s">
        <v>9</v>
      </c>
      <c r="C12" s="9" t="s">
        <v>11</v>
      </c>
      <c r="D12" s="9" t="s">
        <v>10</v>
      </c>
      <c r="E12" s="9" t="s">
        <v>13</v>
      </c>
      <c r="F12" s="183" t="s">
        <v>18</v>
      </c>
      <c r="G12" s="184"/>
      <c r="H12" s="9" t="s">
        <v>7</v>
      </c>
      <c r="I12" s="9" t="s">
        <v>8</v>
      </c>
      <c r="O12" s="21"/>
      <c r="P12" s="21"/>
      <c r="Q12" s="21"/>
      <c r="R12" s="21"/>
    </row>
    <row r="13" spans="2:21" s="48" customFormat="1" x14ac:dyDescent="0.4">
      <c r="B13" s="196" t="s">
        <v>58</v>
      </c>
      <c r="C13" s="221" t="s">
        <v>156</v>
      </c>
      <c r="D13" s="177" t="s">
        <v>77</v>
      </c>
      <c r="E13" s="264" t="s">
        <v>17</v>
      </c>
      <c r="F13" s="232" t="s">
        <v>190</v>
      </c>
      <c r="G13" s="233"/>
      <c r="H13" s="265">
        <f xml:space="preserve"> 3.427*D6-66</f>
        <v>616.93255999999997</v>
      </c>
      <c r="I13" s="266" t="s">
        <v>178</v>
      </c>
      <c r="O13" s="21"/>
      <c r="P13" s="21"/>
      <c r="Q13" s="21"/>
      <c r="R13" s="21"/>
    </row>
    <row r="14" spans="2:21" s="150" customFormat="1" x14ac:dyDescent="0.4">
      <c r="B14" s="263"/>
      <c r="C14" s="262"/>
      <c r="D14" s="179"/>
      <c r="E14" s="197"/>
      <c r="F14" s="217"/>
      <c r="G14" s="218"/>
      <c r="H14" s="220"/>
      <c r="I14" s="267"/>
      <c r="O14" s="153"/>
      <c r="P14" s="153"/>
      <c r="Q14" s="153"/>
      <c r="R14" s="153"/>
    </row>
    <row r="15" spans="2:21" s="48" customFormat="1" x14ac:dyDescent="0.4">
      <c r="B15" s="185"/>
      <c r="C15" s="185"/>
      <c r="D15" s="125" t="s">
        <v>49</v>
      </c>
      <c r="E15" s="126" t="s">
        <v>17</v>
      </c>
      <c r="F15" s="232" t="s">
        <v>163</v>
      </c>
      <c r="G15" s="234"/>
      <c r="H15" s="80">
        <f xml:space="preserve"> 1.4049*D6+180</f>
        <v>459.96847200000002</v>
      </c>
      <c r="I15" s="13" t="s">
        <v>179</v>
      </c>
      <c r="O15" s="21"/>
      <c r="P15" s="21"/>
      <c r="Q15" s="21"/>
      <c r="R15" s="21"/>
    </row>
    <row r="16" spans="2:21" ht="18.75" customHeight="1" x14ac:dyDescent="0.4">
      <c r="B16" s="185"/>
      <c r="C16" s="185"/>
      <c r="D16" s="138" t="s">
        <v>50</v>
      </c>
      <c r="E16" s="126" t="s">
        <v>17</v>
      </c>
      <c r="F16" s="232" t="s">
        <v>183</v>
      </c>
      <c r="G16" s="234"/>
      <c r="H16" s="108">
        <f>0.296*D6+32</f>
        <v>90.986879999999999</v>
      </c>
      <c r="I16" s="13" t="s">
        <v>180</v>
      </c>
      <c r="O16" s="21"/>
      <c r="P16" s="21"/>
      <c r="Q16" s="36"/>
      <c r="R16" s="21"/>
    </row>
    <row r="17" spans="2:18" ht="19.5" customHeight="1" x14ac:dyDescent="0.4">
      <c r="B17" s="185"/>
      <c r="C17" s="185"/>
      <c r="D17" s="126" t="s">
        <v>6</v>
      </c>
      <c r="E17" s="126" t="s">
        <v>17</v>
      </c>
      <c r="F17" s="235" t="s">
        <v>164</v>
      </c>
      <c r="G17" s="236"/>
      <c r="H17" s="80">
        <f>H13+H15+H16</f>
        <v>1167.8879119999999</v>
      </c>
      <c r="I17" s="13" t="s">
        <v>25</v>
      </c>
      <c r="J17" s="40"/>
      <c r="O17" s="203"/>
      <c r="P17" s="38"/>
      <c r="Q17" s="36"/>
      <c r="R17" s="204"/>
    </row>
    <row r="18" spans="2:18" x14ac:dyDescent="0.4">
      <c r="B18" s="185"/>
      <c r="C18" s="185"/>
      <c r="D18" s="125" t="s">
        <v>81</v>
      </c>
      <c r="E18" s="126" t="s">
        <v>85</v>
      </c>
      <c r="F18" s="232" t="s">
        <v>82</v>
      </c>
      <c r="G18" s="233"/>
      <c r="H18" s="80">
        <f>H13*L18*(1+L18)^L22/((1+L18)^L22-1)*10^3</f>
        <v>20891.050178913465</v>
      </c>
      <c r="I18" s="106" t="s">
        <v>181</v>
      </c>
      <c r="K18" s="145" t="s">
        <v>165</v>
      </c>
      <c r="L18" s="146">
        <v>2.3E-2</v>
      </c>
      <c r="O18" s="203"/>
      <c r="P18" s="38"/>
      <c r="Q18" s="36"/>
      <c r="R18" s="204"/>
    </row>
    <row r="19" spans="2:18" s="130" customFormat="1" x14ac:dyDescent="0.4">
      <c r="B19" s="185"/>
      <c r="C19" s="185"/>
      <c r="D19" s="125" t="s">
        <v>83</v>
      </c>
      <c r="E19" s="126" t="s">
        <v>85</v>
      </c>
      <c r="F19" s="232" t="s">
        <v>82</v>
      </c>
      <c r="G19" s="233"/>
      <c r="H19" s="80">
        <f>H15*L18*(1+L18)^L23/((1+L18)^L23-1)*10^3</f>
        <v>36605.635868976031</v>
      </c>
      <c r="I19" s="106" t="s">
        <v>182</v>
      </c>
      <c r="K19" s="259" t="s">
        <v>57</v>
      </c>
      <c r="L19" s="260"/>
      <c r="O19" s="203"/>
      <c r="P19" s="132"/>
      <c r="Q19" s="36"/>
      <c r="R19" s="134"/>
    </row>
    <row r="20" spans="2:18" s="48" customFormat="1" ht="19.5" customHeight="1" x14ac:dyDescent="0.4">
      <c r="B20" s="185"/>
      <c r="C20" s="185"/>
      <c r="D20" s="138" t="s">
        <v>84</v>
      </c>
      <c r="E20" s="126" t="s">
        <v>85</v>
      </c>
      <c r="F20" s="232" t="s">
        <v>82</v>
      </c>
      <c r="G20" s="233"/>
      <c r="H20" s="108">
        <f>H16*L18*(1+L18)^L24/((1+L18)^L24-1)*10^3</f>
        <v>10288.89708143908</v>
      </c>
      <c r="I20" s="106" t="s">
        <v>184</v>
      </c>
      <c r="K20" s="261"/>
      <c r="L20" s="261"/>
      <c r="O20" s="203"/>
      <c r="P20" s="49"/>
      <c r="Q20" s="36"/>
      <c r="R20" s="21"/>
    </row>
    <row r="21" spans="2:18" ht="19.5" customHeight="1" x14ac:dyDescent="0.4">
      <c r="B21" s="185"/>
      <c r="C21" s="185"/>
      <c r="D21" s="148" t="s">
        <v>2</v>
      </c>
      <c r="E21" s="154" t="s">
        <v>85</v>
      </c>
      <c r="F21" s="237" t="s">
        <v>166</v>
      </c>
      <c r="G21" s="238"/>
      <c r="H21" s="166">
        <f>H18+H19+H20</f>
        <v>67785.583129328574</v>
      </c>
      <c r="I21" s="152" t="s">
        <v>185</v>
      </c>
      <c r="K21" s="205" t="s">
        <v>51</v>
      </c>
      <c r="L21" s="202"/>
      <c r="O21" s="203"/>
      <c r="P21" s="203"/>
      <c r="Q21" s="11"/>
      <c r="R21" s="21"/>
    </row>
    <row r="22" spans="2:18" s="48" customFormat="1" ht="18.75" customHeight="1" x14ac:dyDescent="0.4">
      <c r="B22" s="185"/>
      <c r="C22" s="185"/>
      <c r="D22" s="177" t="s">
        <v>87</v>
      </c>
      <c r="E22" s="126" t="s">
        <v>88</v>
      </c>
      <c r="F22" s="249" t="s">
        <v>167</v>
      </c>
      <c r="G22" s="233"/>
      <c r="H22" s="147">
        <f xml:space="preserve"> 1428.7*D6 + 186257</f>
        <v>470968.33600000001</v>
      </c>
      <c r="I22" s="106" t="s">
        <v>189</v>
      </c>
      <c r="K22" s="47" t="s">
        <v>52</v>
      </c>
      <c r="L22" s="25">
        <v>50</v>
      </c>
      <c r="O22" s="49"/>
      <c r="P22" s="49"/>
      <c r="Q22" s="11"/>
      <c r="R22" s="21"/>
    </row>
    <row r="23" spans="2:18" s="48" customFormat="1" ht="18.75" customHeight="1" x14ac:dyDescent="0.4">
      <c r="B23" s="185"/>
      <c r="C23" s="185"/>
      <c r="D23" s="179"/>
      <c r="E23" s="128" t="s">
        <v>80</v>
      </c>
      <c r="F23" s="249" t="s">
        <v>102</v>
      </c>
      <c r="G23" s="233"/>
      <c r="H23" s="147">
        <f>H22*G3*10^-3</f>
        <v>5651.6200319999998</v>
      </c>
      <c r="I23" s="162" t="s">
        <v>186</v>
      </c>
      <c r="K23" s="28" t="s">
        <v>40</v>
      </c>
      <c r="L23" s="42">
        <v>15</v>
      </c>
      <c r="O23" s="49"/>
      <c r="P23" s="49"/>
      <c r="Q23" s="21"/>
      <c r="R23" s="21"/>
    </row>
    <row r="24" spans="2:18" s="20" customFormat="1" ht="18.75" customHeight="1" x14ac:dyDescent="0.4">
      <c r="B24" s="185"/>
      <c r="C24" s="185"/>
      <c r="D24" s="177" t="s">
        <v>89</v>
      </c>
      <c r="E24" s="126" t="s">
        <v>92</v>
      </c>
      <c r="F24" s="232" t="s">
        <v>168</v>
      </c>
      <c r="G24" s="233"/>
      <c r="H24" s="147">
        <f>0.858*D6+1</f>
        <v>171.98223999999999</v>
      </c>
      <c r="I24" s="106" t="s">
        <v>189</v>
      </c>
      <c r="K24" s="65" t="s">
        <v>4</v>
      </c>
      <c r="L24" s="65">
        <v>10</v>
      </c>
      <c r="O24" s="38"/>
      <c r="P24" s="38"/>
      <c r="Q24" s="11"/>
      <c r="R24" s="21"/>
    </row>
    <row r="25" spans="2:18" s="48" customFormat="1" ht="18.75" customHeight="1" x14ac:dyDescent="0.4">
      <c r="B25" s="185"/>
      <c r="C25" s="185"/>
      <c r="D25" s="179"/>
      <c r="E25" s="12" t="s">
        <v>80</v>
      </c>
      <c r="F25" s="250" t="s">
        <v>169</v>
      </c>
      <c r="G25" s="251"/>
      <c r="H25" s="111">
        <f>H24*G4*10^-3</f>
        <v>34.396447999999999</v>
      </c>
      <c r="I25" s="162" t="s">
        <v>187</v>
      </c>
      <c r="K25" s="206" t="s">
        <v>79</v>
      </c>
      <c r="L25" s="207"/>
      <c r="O25" s="49"/>
      <c r="P25" s="49"/>
      <c r="Q25" s="21"/>
      <c r="R25" s="21"/>
    </row>
    <row r="26" spans="2:18" s="130" customFormat="1" ht="18.75" customHeight="1" x14ac:dyDescent="0.4">
      <c r="B26" s="185"/>
      <c r="C26" s="185"/>
      <c r="D26" s="177" t="s">
        <v>106</v>
      </c>
      <c r="E26" s="78" t="s">
        <v>97</v>
      </c>
      <c r="F26" s="249" t="s">
        <v>170</v>
      </c>
      <c r="G26" s="233"/>
      <c r="H26" s="111">
        <f xml:space="preserve"> 645.38*D6+75</f>
        <v>128686.32640000001</v>
      </c>
      <c r="I26" s="106" t="s">
        <v>189</v>
      </c>
      <c r="K26" s="133"/>
      <c r="L26" s="133"/>
      <c r="Q26" s="11"/>
      <c r="R26" s="133"/>
    </row>
    <row r="27" spans="2:18" s="130" customFormat="1" ht="18.75" customHeight="1" x14ac:dyDescent="0.4">
      <c r="B27" s="185"/>
      <c r="C27" s="185"/>
      <c r="D27" s="178"/>
      <c r="E27" s="78" t="s">
        <v>96</v>
      </c>
      <c r="F27" s="232" t="s">
        <v>168</v>
      </c>
      <c r="G27" s="233"/>
      <c r="H27" s="147">
        <f>0.858*D6+1</f>
        <v>171.98223999999999</v>
      </c>
      <c r="I27" s="106" t="s">
        <v>189</v>
      </c>
      <c r="O27" s="15"/>
      <c r="P27" s="132"/>
      <c r="Q27" s="132"/>
      <c r="R27" s="133"/>
    </row>
    <row r="28" spans="2:18" s="130" customFormat="1" ht="18.75" customHeight="1" x14ac:dyDescent="0.4">
      <c r="B28" s="185"/>
      <c r="C28" s="185"/>
      <c r="D28" s="178"/>
      <c r="E28" s="78" t="s">
        <v>98</v>
      </c>
      <c r="F28" s="250" t="s">
        <v>171</v>
      </c>
      <c r="G28" s="251"/>
      <c r="H28" s="147">
        <f xml:space="preserve"> 1470.8*D6-129</f>
        <v>292972.02399999998</v>
      </c>
      <c r="I28" s="106" t="s">
        <v>189</v>
      </c>
      <c r="O28" s="15"/>
      <c r="P28" s="132"/>
      <c r="Q28" s="132"/>
      <c r="R28" s="133"/>
    </row>
    <row r="29" spans="2:18" s="130" customFormat="1" ht="18.75" customHeight="1" x14ac:dyDescent="0.4">
      <c r="B29" s="185"/>
      <c r="C29" s="185"/>
      <c r="D29" s="185"/>
      <c r="E29" s="78" t="s">
        <v>157</v>
      </c>
      <c r="F29" s="250" t="s">
        <v>172</v>
      </c>
      <c r="G29" s="251"/>
      <c r="H29" s="147">
        <f>2450.6*D6 -6</f>
        <v>488349.56799999997</v>
      </c>
      <c r="I29" s="106" t="s">
        <v>189</v>
      </c>
      <c r="O29" s="15"/>
      <c r="P29" s="132"/>
      <c r="Q29" s="132"/>
      <c r="R29" s="133"/>
    </row>
    <row r="30" spans="2:18" s="130" customFormat="1" ht="19.5" customHeight="1" x14ac:dyDescent="0.4">
      <c r="B30" s="185"/>
      <c r="C30" s="185"/>
      <c r="D30" s="185"/>
      <c r="E30" s="215" t="s">
        <v>107</v>
      </c>
      <c r="F30" s="249" t="s">
        <v>111</v>
      </c>
      <c r="G30" s="233"/>
      <c r="H30" s="219">
        <f>H26*G5*10^-3</f>
        <v>3731.9034656000003</v>
      </c>
      <c r="I30" s="221" t="s">
        <v>188</v>
      </c>
      <c r="O30" s="15"/>
      <c r="P30" s="132"/>
      <c r="Q30" s="132"/>
      <c r="R30" s="133"/>
    </row>
    <row r="31" spans="2:18" s="130" customFormat="1" ht="19.5" customHeight="1" x14ac:dyDescent="0.4">
      <c r="B31" s="185"/>
      <c r="C31" s="185"/>
      <c r="D31" s="185"/>
      <c r="E31" s="216"/>
      <c r="F31" s="252"/>
      <c r="G31" s="253"/>
      <c r="H31" s="220"/>
      <c r="I31" s="214"/>
      <c r="O31" s="15"/>
      <c r="P31" s="132"/>
      <c r="Q31" s="132"/>
      <c r="R31" s="133"/>
    </row>
    <row r="32" spans="2:18" s="130" customFormat="1" ht="19.5" customHeight="1" x14ac:dyDescent="0.4">
      <c r="B32" s="185"/>
      <c r="C32" s="185"/>
      <c r="D32" s="185"/>
      <c r="E32" s="215" t="s">
        <v>108</v>
      </c>
      <c r="F32" s="249" t="s">
        <v>112</v>
      </c>
      <c r="G32" s="233"/>
      <c r="H32" s="219">
        <f>H27*G6*10^-3</f>
        <v>85.991119999999995</v>
      </c>
      <c r="I32" s="180" t="s">
        <v>63</v>
      </c>
      <c r="O32" s="15"/>
      <c r="P32" s="132"/>
      <c r="Q32" s="132"/>
      <c r="R32" s="133"/>
    </row>
    <row r="33" spans="1:18" s="30" customFormat="1" x14ac:dyDescent="0.4">
      <c r="A33" s="130"/>
      <c r="B33" s="185"/>
      <c r="C33" s="185"/>
      <c r="D33" s="185"/>
      <c r="E33" s="216"/>
      <c r="F33" s="252"/>
      <c r="G33" s="253"/>
      <c r="H33" s="220"/>
      <c r="I33" s="214"/>
      <c r="O33" s="208"/>
      <c r="P33" s="208"/>
      <c r="Q33" s="135"/>
      <c r="R33" s="53"/>
    </row>
    <row r="34" spans="1:18" s="130" customFormat="1" ht="19.5" customHeight="1" x14ac:dyDescent="0.4">
      <c r="B34" s="185"/>
      <c r="C34" s="185"/>
      <c r="D34" s="185"/>
      <c r="E34" s="215" t="s">
        <v>109</v>
      </c>
      <c r="F34" s="249" t="s">
        <v>113</v>
      </c>
      <c r="G34" s="233"/>
      <c r="H34" s="219">
        <f>H28*G7*10^-3</f>
        <v>7324.3005999999996</v>
      </c>
      <c r="I34" s="180" t="s">
        <v>26</v>
      </c>
      <c r="O34" s="15"/>
      <c r="P34" s="132"/>
      <c r="Q34" s="132"/>
      <c r="R34" s="133"/>
    </row>
    <row r="35" spans="1:18" s="130" customFormat="1" ht="19.5" customHeight="1" x14ac:dyDescent="0.4">
      <c r="B35" s="185"/>
      <c r="C35" s="185"/>
      <c r="D35" s="185"/>
      <c r="E35" s="216"/>
      <c r="F35" s="252"/>
      <c r="G35" s="253"/>
      <c r="H35" s="220"/>
      <c r="I35" s="214"/>
      <c r="O35" s="15"/>
      <c r="P35" s="132"/>
      <c r="Q35" s="132"/>
      <c r="R35" s="133"/>
    </row>
    <row r="36" spans="1:18" s="130" customFormat="1" ht="19.5" customHeight="1" x14ac:dyDescent="0.4">
      <c r="B36" s="185"/>
      <c r="C36" s="185"/>
      <c r="D36" s="185"/>
      <c r="E36" s="215" t="s">
        <v>158</v>
      </c>
      <c r="F36" s="249" t="s">
        <v>173</v>
      </c>
      <c r="G36" s="233"/>
      <c r="H36" s="219">
        <f>H29*G9*10^-3</f>
        <v>39556.315008000005</v>
      </c>
      <c r="I36" s="180" t="s">
        <v>27</v>
      </c>
      <c r="O36" s="15"/>
      <c r="P36" s="132"/>
      <c r="Q36" s="132"/>
      <c r="R36" s="133"/>
    </row>
    <row r="37" spans="1:18" s="30" customFormat="1" x14ac:dyDescent="0.4">
      <c r="A37" s="130"/>
      <c r="B37" s="185"/>
      <c r="C37" s="185"/>
      <c r="D37" s="185"/>
      <c r="E37" s="216"/>
      <c r="F37" s="252"/>
      <c r="G37" s="253"/>
      <c r="H37" s="220"/>
      <c r="I37" s="214"/>
      <c r="O37" s="208"/>
      <c r="P37" s="208"/>
      <c r="Q37" s="135"/>
      <c r="R37" s="53"/>
    </row>
    <row r="38" spans="1:18" s="130" customFormat="1" ht="19.5" customHeight="1" x14ac:dyDescent="0.4">
      <c r="B38" s="185"/>
      <c r="C38" s="185"/>
      <c r="D38" s="186"/>
      <c r="E38" s="12" t="s">
        <v>80</v>
      </c>
      <c r="F38" s="183" t="s">
        <v>19</v>
      </c>
      <c r="G38" s="184"/>
      <c r="H38" s="112">
        <f>H30+H32+H34+H36</f>
        <v>50698.510193600006</v>
      </c>
      <c r="I38" s="156" t="s">
        <v>231</v>
      </c>
      <c r="K38" s="107"/>
      <c r="L38" s="107"/>
      <c r="O38" s="132"/>
      <c r="P38" s="132"/>
      <c r="Q38" s="132"/>
      <c r="R38" s="133"/>
    </row>
    <row r="39" spans="1:18" s="130" customFormat="1" x14ac:dyDescent="0.4">
      <c r="B39" s="185"/>
      <c r="C39" s="185"/>
      <c r="D39" s="125" t="s">
        <v>115</v>
      </c>
      <c r="E39" s="128" t="s">
        <v>80</v>
      </c>
      <c r="F39" s="254" t="s">
        <v>175</v>
      </c>
      <c r="G39" s="255"/>
      <c r="H39" s="167">
        <f xml:space="preserve"> 11.443*D6+479.35</f>
        <v>2759.7110399999997</v>
      </c>
      <c r="I39" s="106" t="s">
        <v>232</v>
      </c>
      <c r="K39" s="133"/>
      <c r="L39" s="133"/>
    </row>
    <row r="40" spans="1:18" s="130" customFormat="1" ht="19.5" customHeight="1" x14ac:dyDescent="0.4">
      <c r="B40" s="185"/>
      <c r="C40" s="185"/>
      <c r="D40" s="125" t="s">
        <v>116</v>
      </c>
      <c r="E40" s="128" t="s">
        <v>80</v>
      </c>
      <c r="F40" s="245" t="s">
        <v>176</v>
      </c>
      <c r="G40" s="213"/>
      <c r="H40" s="80">
        <f>102.91*D6+ 4310.7</f>
        <v>24818.604800000001</v>
      </c>
      <c r="I40" s="163" t="s">
        <v>233</v>
      </c>
    </row>
    <row r="41" spans="1:18" s="130" customFormat="1" x14ac:dyDescent="0.4">
      <c r="B41" s="185"/>
      <c r="C41" s="186"/>
      <c r="D41" s="124" t="s">
        <v>5</v>
      </c>
      <c r="E41" s="128" t="s">
        <v>80</v>
      </c>
      <c r="F41" s="183" t="s">
        <v>19</v>
      </c>
      <c r="G41" s="184"/>
      <c r="H41" s="168">
        <f>H23+H25+H38+H39+H40</f>
        <v>83962.842513600015</v>
      </c>
      <c r="I41" s="156" t="s">
        <v>234</v>
      </c>
    </row>
    <row r="42" spans="1:18" s="130" customFormat="1" ht="19.5" customHeight="1" x14ac:dyDescent="0.4">
      <c r="B42" s="185"/>
      <c r="C42" s="244"/>
      <c r="D42" s="225" t="s">
        <v>53</v>
      </c>
      <c r="E42" s="226" t="s">
        <v>119</v>
      </c>
      <c r="F42" s="228" t="s">
        <v>117</v>
      </c>
      <c r="G42" s="229"/>
      <c r="H42" s="248">
        <f>H18*(0.15*0.4)+H19*(0.5*0.4)+H20*(0.15*0.4)+H21*0.04</f>
        <v>11903.3473345895</v>
      </c>
      <c r="I42" s="246" t="s">
        <v>235</v>
      </c>
    </row>
    <row r="43" spans="1:18" s="130" customFormat="1" ht="19.5" customHeight="1" x14ac:dyDescent="0.4">
      <c r="B43" s="185"/>
      <c r="C43" s="217"/>
      <c r="D43" s="218"/>
      <c r="E43" s="227"/>
      <c r="F43" s="230"/>
      <c r="G43" s="231"/>
      <c r="H43" s="220"/>
      <c r="I43" s="247"/>
    </row>
    <row r="44" spans="1:18" s="130" customFormat="1" ht="19.5" customHeight="1" x14ac:dyDescent="0.4">
      <c r="B44" s="186"/>
      <c r="C44" s="224" t="s">
        <v>44</v>
      </c>
      <c r="D44" s="224"/>
      <c r="E44" s="124" t="s">
        <v>119</v>
      </c>
      <c r="F44" s="183" t="s">
        <v>19</v>
      </c>
      <c r="G44" s="184"/>
      <c r="H44" s="169">
        <f>H21+H41+H42</f>
        <v>163651.77297751806</v>
      </c>
      <c r="I44" s="164" t="s">
        <v>236</v>
      </c>
    </row>
    <row r="45" spans="1:18" ht="18.75" customHeight="1" x14ac:dyDescent="0.4">
      <c r="B45" s="177" t="s">
        <v>3</v>
      </c>
      <c r="C45" s="177" t="s">
        <v>76</v>
      </c>
      <c r="D45" s="177" t="s">
        <v>77</v>
      </c>
      <c r="E45" s="264" t="s">
        <v>17</v>
      </c>
      <c r="F45" s="228" t="s">
        <v>248</v>
      </c>
      <c r="G45" s="269"/>
      <c r="H45" s="265">
        <f xml:space="preserve">  0.932*D6 + 92.18</f>
        <v>277.90895999999998</v>
      </c>
      <c r="I45" s="266" t="s">
        <v>192</v>
      </c>
      <c r="O45" s="38"/>
      <c r="P45" s="38"/>
      <c r="Q45" s="21"/>
      <c r="R45" s="21"/>
    </row>
    <row r="46" spans="1:18" s="150" customFormat="1" ht="18.75" customHeight="1" x14ac:dyDescent="0.4">
      <c r="B46" s="178"/>
      <c r="C46" s="178"/>
      <c r="D46" s="179"/>
      <c r="E46" s="197"/>
      <c r="F46" s="270"/>
      <c r="G46" s="271"/>
      <c r="H46" s="220"/>
      <c r="I46" s="268"/>
      <c r="O46" s="151"/>
      <c r="P46" s="151"/>
      <c r="Q46" s="153"/>
      <c r="R46" s="153"/>
    </row>
    <row r="47" spans="1:18" s="91" customFormat="1" ht="18.75" customHeight="1" x14ac:dyDescent="0.4">
      <c r="B47" s="178"/>
      <c r="C47" s="178"/>
      <c r="D47" s="85" t="s">
        <v>49</v>
      </c>
      <c r="E47" s="92" t="s">
        <v>17</v>
      </c>
      <c r="F47" s="228" t="s">
        <v>249</v>
      </c>
      <c r="G47" s="229"/>
      <c r="H47" s="80">
        <f xml:space="preserve"> 0.6178*D6 + 187.32</f>
        <v>310.43518399999999</v>
      </c>
      <c r="I47" s="105" t="s">
        <v>193</v>
      </c>
      <c r="O47" s="86"/>
      <c r="P47" s="86"/>
      <c r="Q47" s="36"/>
      <c r="R47" s="89"/>
    </row>
    <row r="48" spans="1:18" ht="18.75" customHeight="1" x14ac:dyDescent="0.4">
      <c r="B48" s="178"/>
      <c r="C48" s="178"/>
      <c r="D48" s="93" t="s">
        <v>50</v>
      </c>
      <c r="E48" s="92" t="s">
        <v>17</v>
      </c>
      <c r="F48" s="228" t="s">
        <v>247</v>
      </c>
      <c r="G48" s="229"/>
      <c r="H48" s="108">
        <f>0.1236*D6+38.389</f>
        <v>63.020008000000004</v>
      </c>
      <c r="I48" s="105" t="s">
        <v>193</v>
      </c>
      <c r="O48" s="38"/>
      <c r="P48" s="38"/>
      <c r="Q48" s="36"/>
      <c r="R48" s="21"/>
    </row>
    <row r="49" spans="1:18" s="91" customFormat="1" ht="18.75" customHeight="1" x14ac:dyDescent="0.4">
      <c r="B49" s="178"/>
      <c r="C49" s="178"/>
      <c r="D49" s="92" t="s">
        <v>6</v>
      </c>
      <c r="E49" s="92" t="s">
        <v>17</v>
      </c>
      <c r="F49" s="272" t="s">
        <v>250</v>
      </c>
      <c r="G49" s="269"/>
      <c r="H49" s="80">
        <f>1.674*D6+317.51</f>
        <v>651.10472000000004</v>
      </c>
      <c r="I49" s="162" t="s">
        <v>237</v>
      </c>
      <c r="O49" s="86"/>
      <c r="P49" s="86"/>
      <c r="Q49" s="36"/>
      <c r="R49" s="89"/>
    </row>
    <row r="50" spans="1:18" s="91" customFormat="1" ht="18.75" customHeight="1" x14ac:dyDescent="0.4">
      <c r="B50" s="178"/>
      <c r="C50" s="178"/>
      <c r="D50" s="85" t="s">
        <v>81</v>
      </c>
      <c r="E50" s="92" t="s">
        <v>85</v>
      </c>
      <c r="F50" s="232" t="s">
        <v>82</v>
      </c>
      <c r="G50" s="233"/>
      <c r="H50" s="80">
        <f>H45*L18*(1+L18)^L22/((1+L18)^L22-1)*10^3</f>
        <v>9410.7693530224005</v>
      </c>
      <c r="I50" s="106" t="s">
        <v>191</v>
      </c>
      <c r="O50" s="86"/>
      <c r="P50" s="86"/>
      <c r="Q50" s="36"/>
      <c r="R50" s="89"/>
    </row>
    <row r="51" spans="1:18" ht="18.75" customHeight="1" x14ac:dyDescent="0.4">
      <c r="B51" s="178"/>
      <c r="C51" s="178"/>
      <c r="D51" s="85" t="s">
        <v>83</v>
      </c>
      <c r="E51" s="92" t="s">
        <v>85</v>
      </c>
      <c r="F51" s="232" t="s">
        <v>82</v>
      </c>
      <c r="G51" s="233"/>
      <c r="H51" s="80">
        <f>H47*L18*(1+L18)^L23/((1+L18)^L23-1)*10^3</f>
        <v>24705.339600803276</v>
      </c>
      <c r="I51" s="106" t="s">
        <v>238</v>
      </c>
      <c r="O51" s="203"/>
      <c r="P51" s="203"/>
      <c r="Q51" s="11"/>
      <c r="R51" s="21"/>
    </row>
    <row r="52" spans="1:18" s="91" customFormat="1" ht="18.75" customHeight="1" x14ac:dyDescent="0.4">
      <c r="B52" s="178"/>
      <c r="C52" s="178"/>
      <c r="D52" s="93" t="s">
        <v>84</v>
      </c>
      <c r="E52" s="92" t="s">
        <v>85</v>
      </c>
      <c r="F52" s="232" t="s">
        <v>82</v>
      </c>
      <c r="G52" s="233"/>
      <c r="H52" s="108">
        <f>H48*L18*(1+L18)^L24/((1+L18)^L24-1)*10^3</f>
        <v>7126.3722460146728</v>
      </c>
      <c r="I52" s="106" t="s">
        <v>239</v>
      </c>
      <c r="K52" s="57"/>
      <c r="L52" s="86"/>
      <c r="O52" s="86"/>
      <c r="P52" s="86"/>
      <c r="Q52" s="11"/>
      <c r="R52" s="89"/>
    </row>
    <row r="53" spans="1:18" s="52" customFormat="1" ht="18.75" customHeight="1" x14ac:dyDescent="0.4">
      <c r="A53" s="91"/>
      <c r="B53" s="178"/>
      <c r="C53" s="178"/>
      <c r="D53" s="148" t="s">
        <v>2</v>
      </c>
      <c r="E53" s="149" t="s">
        <v>80</v>
      </c>
      <c r="F53" s="237" t="s">
        <v>86</v>
      </c>
      <c r="G53" s="238"/>
      <c r="H53" s="166">
        <f>H50+H51+H52</f>
        <v>41242.481199840353</v>
      </c>
      <c r="I53" s="155" t="s">
        <v>240</v>
      </c>
      <c r="K53" s="23"/>
      <c r="L53" s="21"/>
      <c r="O53" s="50"/>
      <c r="P53" s="50"/>
      <c r="Q53" s="11"/>
      <c r="R53" s="21"/>
    </row>
    <row r="54" spans="1:18" ht="18.75" customHeight="1" x14ac:dyDescent="0.4">
      <c r="B54" s="178"/>
      <c r="C54" s="178"/>
      <c r="D54" s="177" t="s">
        <v>87</v>
      </c>
      <c r="E54" s="92" t="s">
        <v>88</v>
      </c>
      <c r="F54" s="212" t="s">
        <v>90</v>
      </c>
      <c r="G54" s="213"/>
      <c r="H54" s="147">
        <f xml:space="preserve"> 1375.2*D6+ 101361</f>
        <v>375410.85600000003</v>
      </c>
      <c r="I54" s="13" t="s">
        <v>193</v>
      </c>
      <c r="K54" s="84"/>
      <c r="L54" s="72"/>
      <c r="O54" s="203"/>
      <c r="P54" s="203"/>
      <c r="Q54" s="37"/>
      <c r="R54" s="21"/>
    </row>
    <row r="55" spans="1:18" s="20" customFormat="1" ht="18.75" customHeight="1" x14ac:dyDescent="0.4">
      <c r="B55" s="178"/>
      <c r="C55" s="178"/>
      <c r="D55" s="179"/>
      <c r="E55" s="51" t="s">
        <v>80</v>
      </c>
      <c r="F55" s="212" t="s">
        <v>102</v>
      </c>
      <c r="G55" s="213"/>
      <c r="H55" s="147">
        <f>H54*G3*10^-3</f>
        <v>4504.9302719999996</v>
      </c>
      <c r="I55" s="104"/>
      <c r="K55" s="21"/>
      <c r="L55" s="71"/>
      <c r="O55" s="38"/>
      <c r="P55" s="38"/>
      <c r="Q55" s="11"/>
      <c r="R55" s="21"/>
    </row>
    <row r="56" spans="1:18" s="20" customFormat="1" ht="18.75" customHeight="1" x14ac:dyDescent="0.4">
      <c r="A56" s="7"/>
      <c r="B56" s="178"/>
      <c r="C56" s="178"/>
      <c r="D56" s="177" t="s">
        <v>89</v>
      </c>
      <c r="E56" s="92" t="s">
        <v>92</v>
      </c>
      <c r="F56" s="245" t="s">
        <v>91</v>
      </c>
      <c r="G56" s="213"/>
      <c r="H56" s="147">
        <f xml:space="preserve"> 0.8613*D6- 0.113</f>
        <v>171.52686399999999</v>
      </c>
      <c r="I56" s="13" t="s">
        <v>193</v>
      </c>
      <c r="K56" s="21"/>
      <c r="L56" s="21"/>
      <c r="Q56" s="11"/>
      <c r="R56" s="21"/>
    </row>
    <row r="57" spans="1:18" ht="18.75" customHeight="1" x14ac:dyDescent="0.4">
      <c r="A57" s="20"/>
      <c r="B57" s="178"/>
      <c r="C57" s="178"/>
      <c r="D57" s="179"/>
      <c r="E57" s="88" t="s">
        <v>80</v>
      </c>
      <c r="F57" s="212" t="s">
        <v>103</v>
      </c>
      <c r="G57" s="213"/>
      <c r="H57" s="147">
        <f>H56*G4*10^-3</f>
        <v>34.305372800000001</v>
      </c>
      <c r="I57" s="104"/>
      <c r="K57" s="57"/>
      <c r="L57" s="56"/>
      <c r="O57" s="15"/>
      <c r="P57" s="3"/>
      <c r="Q57" s="3"/>
      <c r="R57" s="10"/>
    </row>
    <row r="58" spans="1:18" s="91" customFormat="1" ht="18.75" customHeight="1" x14ac:dyDescent="0.4">
      <c r="B58" s="178"/>
      <c r="C58" s="178"/>
      <c r="D58" s="177" t="s">
        <v>106</v>
      </c>
      <c r="E58" s="78" t="s">
        <v>97</v>
      </c>
      <c r="F58" s="212" t="s">
        <v>100</v>
      </c>
      <c r="G58" s="213"/>
      <c r="H58" s="111">
        <f xml:space="preserve"> 645.63*D6 - 8.6924</f>
        <v>128652.454</v>
      </c>
      <c r="I58" s="13" t="s">
        <v>193</v>
      </c>
      <c r="K58" s="89"/>
      <c r="L58" s="89"/>
      <c r="Q58" s="11"/>
      <c r="R58" s="89"/>
    </row>
    <row r="59" spans="1:18" s="91" customFormat="1" ht="18.75" customHeight="1" x14ac:dyDescent="0.4">
      <c r="B59" s="178"/>
      <c r="C59" s="178"/>
      <c r="D59" s="178"/>
      <c r="E59" s="78" t="s">
        <v>96</v>
      </c>
      <c r="F59" s="183" t="s">
        <v>101</v>
      </c>
      <c r="G59" s="184"/>
      <c r="H59" s="147">
        <f xml:space="preserve"> 0.8613*D6- 0.113</f>
        <v>171.52686399999999</v>
      </c>
      <c r="I59" s="13" t="s">
        <v>193</v>
      </c>
      <c r="K59" s="57"/>
      <c r="L59" s="86"/>
      <c r="O59" s="15"/>
      <c r="P59" s="86"/>
      <c r="Q59" s="86"/>
      <c r="R59" s="89"/>
    </row>
    <row r="60" spans="1:18" s="91" customFormat="1" ht="18.75" customHeight="1" x14ac:dyDescent="0.4">
      <c r="B60" s="178"/>
      <c r="C60" s="178"/>
      <c r="D60" s="178"/>
      <c r="E60" s="78" t="s">
        <v>98</v>
      </c>
      <c r="F60" s="183" t="s">
        <v>104</v>
      </c>
      <c r="G60" s="184"/>
      <c r="H60" s="147">
        <f xml:space="preserve"> 3840.8*D6-120.48</f>
        <v>765274.14400000009</v>
      </c>
      <c r="I60" s="13" t="s">
        <v>193</v>
      </c>
      <c r="K60" s="57"/>
      <c r="L60" s="86"/>
      <c r="O60" s="15"/>
      <c r="P60" s="86"/>
      <c r="Q60" s="86"/>
      <c r="R60" s="89"/>
    </row>
    <row r="61" spans="1:18" s="52" customFormat="1" ht="18.75" customHeight="1" x14ac:dyDescent="0.4">
      <c r="A61" s="20"/>
      <c r="B61" s="178"/>
      <c r="C61" s="178"/>
      <c r="D61" s="185"/>
      <c r="E61" s="78" t="s">
        <v>99</v>
      </c>
      <c r="F61" s="183" t="s">
        <v>105</v>
      </c>
      <c r="G61" s="184"/>
      <c r="H61" s="147">
        <f xml:space="preserve"> 102.32*D6+ 14.342</f>
        <v>20404.671599999998</v>
      </c>
      <c r="I61" s="13" t="s">
        <v>193</v>
      </c>
      <c r="K61" s="57"/>
      <c r="L61" s="56"/>
      <c r="O61" s="15"/>
      <c r="P61" s="50"/>
      <c r="Q61" s="50"/>
      <c r="R61" s="21"/>
    </row>
    <row r="62" spans="1:18" s="91" customFormat="1" ht="19.5" customHeight="1" x14ac:dyDescent="0.4">
      <c r="B62" s="178"/>
      <c r="C62" s="178"/>
      <c r="D62" s="185"/>
      <c r="E62" s="215" t="s">
        <v>107</v>
      </c>
      <c r="F62" s="212" t="s">
        <v>111</v>
      </c>
      <c r="G62" s="213"/>
      <c r="H62" s="219">
        <f>H58*G5*10^-3</f>
        <v>3730.9211659999996</v>
      </c>
      <c r="I62" s="180" t="s">
        <v>194</v>
      </c>
      <c r="K62" s="89"/>
      <c r="L62" s="89"/>
      <c r="O62" s="15"/>
      <c r="P62" s="86"/>
      <c r="Q62" s="86"/>
      <c r="R62" s="89"/>
    </row>
    <row r="63" spans="1:18" s="91" customFormat="1" ht="19.5" customHeight="1" x14ac:dyDescent="0.4">
      <c r="B63" s="178"/>
      <c r="C63" s="178"/>
      <c r="D63" s="185"/>
      <c r="E63" s="216"/>
      <c r="F63" s="217"/>
      <c r="G63" s="218"/>
      <c r="H63" s="220"/>
      <c r="I63" s="214"/>
      <c r="K63" s="89"/>
      <c r="L63" s="89"/>
      <c r="O63" s="15"/>
      <c r="P63" s="86"/>
      <c r="Q63" s="86"/>
      <c r="R63" s="89"/>
    </row>
    <row r="64" spans="1:18" s="91" customFormat="1" ht="19.5" customHeight="1" x14ac:dyDescent="0.4">
      <c r="B64" s="178"/>
      <c r="C64" s="178"/>
      <c r="D64" s="185"/>
      <c r="E64" s="215" t="s">
        <v>108</v>
      </c>
      <c r="F64" s="212" t="s">
        <v>112</v>
      </c>
      <c r="G64" s="213"/>
      <c r="H64" s="219">
        <f>H59*G6*10^-3</f>
        <v>85.763432000000009</v>
      </c>
      <c r="I64" s="180" t="s">
        <v>195</v>
      </c>
      <c r="K64" s="89"/>
      <c r="L64" s="89"/>
      <c r="O64" s="15"/>
      <c r="P64" s="86"/>
      <c r="Q64" s="86"/>
      <c r="R64" s="89"/>
    </row>
    <row r="65" spans="1:18" s="30" customFormat="1" x14ac:dyDescent="0.4">
      <c r="A65" s="91"/>
      <c r="B65" s="178"/>
      <c r="C65" s="178"/>
      <c r="D65" s="185"/>
      <c r="E65" s="216"/>
      <c r="F65" s="217"/>
      <c r="G65" s="218"/>
      <c r="H65" s="220"/>
      <c r="I65" s="214"/>
      <c r="K65" s="53"/>
      <c r="L65" s="53"/>
      <c r="O65" s="208"/>
      <c r="P65" s="208"/>
      <c r="Q65" s="87"/>
      <c r="R65" s="53"/>
    </row>
    <row r="66" spans="1:18" s="91" customFormat="1" ht="19.5" customHeight="1" x14ac:dyDescent="0.4">
      <c r="B66" s="178"/>
      <c r="C66" s="178"/>
      <c r="D66" s="185"/>
      <c r="E66" s="215" t="s">
        <v>109</v>
      </c>
      <c r="F66" s="212" t="s">
        <v>113</v>
      </c>
      <c r="G66" s="213"/>
      <c r="H66" s="219">
        <f>H60*G7*10^-3</f>
        <v>19131.853600000002</v>
      </c>
      <c r="I66" s="180" t="s">
        <v>228</v>
      </c>
      <c r="K66" s="89"/>
      <c r="L66" s="89"/>
      <c r="O66" s="15"/>
      <c r="P66" s="86"/>
      <c r="Q66" s="86"/>
      <c r="R66" s="89"/>
    </row>
    <row r="67" spans="1:18" s="91" customFormat="1" ht="19.5" customHeight="1" x14ac:dyDescent="0.4">
      <c r="B67" s="178"/>
      <c r="C67" s="178"/>
      <c r="D67" s="185"/>
      <c r="E67" s="216"/>
      <c r="F67" s="217"/>
      <c r="G67" s="218"/>
      <c r="H67" s="220"/>
      <c r="I67" s="214"/>
      <c r="K67" s="89"/>
      <c r="L67" s="89"/>
      <c r="O67" s="15"/>
      <c r="P67" s="86"/>
      <c r="Q67" s="86"/>
      <c r="R67" s="89"/>
    </row>
    <row r="68" spans="1:18" s="20" customFormat="1" ht="19.5" customHeight="1" x14ac:dyDescent="0.4">
      <c r="A68" s="7"/>
      <c r="B68" s="178"/>
      <c r="C68" s="178"/>
      <c r="D68" s="185"/>
      <c r="E68" s="215" t="s">
        <v>110</v>
      </c>
      <c r="F68" s="212" t="s">
        <v>114</v>
      </c>
      <c r="G68" s="213"/>
      <c r="H68" s="219">
        <f>H61*G8*10^-3</f>
        <v>428.49810359999998</v>
      </c>
      <c r="I68" s="180" t="s">
        <v>229</v>
      </c>
      <c r="K68" s="21"/>
      <c r="L68" s="21"/>
      <c r="O68" s="15"/>
      <c r="P68" s="3"/>
      <c r="Q68" s="3"/>
      <c r="R68" s="21"/>
    </row>
    <row r="69" spans="1:18" s="30" customFormat="1" x14ac:dyDescent="0.4">
      <c r="A69" s="52"/>
      <c r="B69" s="178"/>
      <c r="C69" s="178"/>
      <c r="D69" s="185"/>
      <c r="E69" s="216"/>
      <c r="F69" s="217"/>
      <c r="G69" s="218"/>
      <c r="H69" s="220"/>
      <c r="I69" s="214"/>
      <c r="K69" s="53"/>
      <c r="L69" s="53"/>
      <c r="O69" s="208"/>
      <c r="P69" s="208"/>
      <c r="Q69" s="34"/>
      <c r="R69" s="53"/>
    </row>
    <row r="70" spans="1:18" s="20" customFormat="1" ht="19.5" customHeight="1" x14ac:dyDescent="0.4">
      <c r="B70" s="178"/>
      <c r="C70" s="178"/>
      <c r="D70" s="186"/>
      <c r="E70" s="51" t="s">
        <v>80</v>
      </c>
      <c r="F70" s="183" t="s">
        <v>19</v>
      </c>
      <c r="G70" s="184"/>
      <c r="H70" s="112">
        <f>H62+H64+H66+H68</f>
        <v>23377.036301600001</v>
      </c>
      <c r="I70" s="156" t="s">
        <v>230</v>
      </c>
      <c r="K70" s="57"/>
      <c r="L70" s="56"/>
      <c r="O70" s="3"/>
      <c r="P70" s="3"/>
      <c r="Q70" s="3"/>
      <c r="R70" s="21"/>
    </row>
    <row r="71" spans="1:18" x14ac:dyDescent="0.4">
      <c r="A71" s="68"/>
      <c r="B71" s="178"/>
      <c r="C71" s="178"/>
      <c r="D71" s="85" t="s">
        <v>115</v>
      </c>
      <c r="E71" s="88" t="s">
        <v>80</v>
      </c>
      <c r="F71" s="273" t="s">
        <v>253</v>
      </c>
      <c r="G71" s="274"/>
      <c r="H71" s="167">
        <f xml:space="preserve"> 3.7348*D6 + 1122.6</f>
        <v>1866.8709439999998</v>
      </c>
      <c r="I71" s="13" t="s">
        <v>193</v>
      </c>
      <c r="K71" s="21"/>
      <c r="L71" s="21"/>
    </row>
    <row r="72" spans="1:18" s="26" customFormat="1" ht="19.5" customHeight="1" x14ac:dyDescent="0.4">
      <c r="A72" s="7"/>
      <c r="B72" s="178"/>
      <c r="C72" s="178"/>
      <c r="D72" s="85" t="s">
        <v>116</v>
      </c>
      <c r="E72" s="88" t="s">
        <v>80</v>
      </c>
      <c r="F72" s="275" t="s">
        <v>254</v>
      </c>
      <c r="G72" s="274"/>
      <c r="H72" s="167">
        <f xml:space="preserve"> 37.182*D6 + 11262</f>
        <v>18671.628960000002</v>
      </c>
      <c r="I72" s="13" t="s">
        <v>193</v>
      </c>
      <c r="K72" s="20"/>
      <c r="L72" s="20"/>
    </row>
    <row r="73" spans="1:18" x14ac:dyDescent="0.4">
      <c r="B73" s="178"/>
      <c r="C73" s="179"/>
      <c r="D73" s="9" t="s">
        <v>5</v>
      </c>
      <c r="E73" s="88" t="s">
        <v>80</v>
      </c>
      <c r="F73" s="272" t="s">
        <v>251</v>
      </c>
      <c r="G73" s="269"/>
      <c r="H73" s="168">
        <f>(0.174*D3 + 13.673)*10^3</f>
        <v>54563</v>
      </c>
      <c r="I73" s="162" t="s">
        <v>196</v>
      </c>
    </row>
    <row r="74" spans="1:18" ht="19.5" customHeight="1" x14ac:dyDescent="0.4">
      <c r="A74" s="26"/>
      <c r="B74" s="178"/>
      <c r="C74" s="244"/>
      <c r="D74" s="225" t="s">
        <v>53</v>
      </c>
      <c r="E74" s="226" t="s">
        <v>119</v>
      </c>
      <c r="F74" s="228" t="s">
        <v>117</v>
      </c>
      <c r="G74" s="229"/>
      <c r="H74" s="248">
        <f>H50*(0.15*0.4)+H51*(0.5*0.4)+H52*(0.15*0.4)+H53*0.04</f>
        <v>7582.9956640964938</v>
      </c>
      <c r="I74" s="246" t="s">
        <v>241</v>
      </c>
      <c r="J74" s="20"/>
    </row>
    <row r="75" spans="1:18" s="99" customFormat="1" ht="19.5" customHeight="1" x14ac:dyDescent="0.4">
      <c r="B75" s="178"/>
      <c r="C75" s="217"/>
      <c r="D75" s="218"/>
      <c r="E75" s="227"/>
      <c r="F75" s="230"/>
      <c r="G75" s="231"/>
      <c r="H75" s="220"/>
      <c r="I75" s="247"/>
    </row>
    <row r="76" spans="1:18" s="68" customFormat="1" ht="19.5" customHeight="1" x14ac:dyDescent="0.4">
      <c r="A76" s="7"/>
      <c r="B76" s="179"/>
      <c r="C76" s="224" t="s">
        <v>44</v>
      </c>
      <c r="D76" s="224"/>
      <c r="E76" s="9" t="s">
        <v>119</v>
      </c>
      <c r="F76" s="276" t="s">
        <v>252</v>
      </c>
      <c r="G76" s="269"/>
      <c r="H76" s="46">
        <f>(0.285*D6 + 40.344)*10^3</f>
        <v>97138.8</v>
      </c>
      <c r="I76" s="164" t="s">
        <v>197</v>
      </c>
    </row>
    <row r="77" spans="1:18" s="68" customFormat="1" ht="39" customHeight="1" x14ac:dyDescent="0.4">
      <c r="A77" s="7"/>
      <c r="B77" s="187" t="s">
        <v>34</v>
      </c>
      <c r="C77" s="222"/>
      <c r="D77" s="223"/>
      <c r="E77" s="17" t="s">
        <v>31</v>
      </c>
      <c r="F77" s="183" t="s">
        <v>19</v>
      </c>
      <c r="G77" s="184"/>
      <c r="H77" s="75">
        <f>1-H76/H44</f>
        <v>0.4064298954259139</v>
      </c>
      <c r="I77" s="13" t="s">
        <v>33</v>
      </c>
    </row>
    <row r="78" spans="1:18" s="68" customFormat="1" ht="39" customHeight="1" x14ac:dyDescent="0.4">
      <c r="B78" s="26"/>
      <c r="C78" s="26"/>
      <c r="D78" s="26"/>
      <c r="E78" s="26"/>
      <c r="F78" s="26"/>
      <c r="G78" s="26"/>
      <c r="H78" s="26"/>
      <c r="I78" s="26"/>
    </row>
    <row r="79" spans="1:18" s="68" customFormat="1" ht="19.5" customHeight="1" x14ac:dyDescent="0.4">
      <c r="B79" s="165" t="s">
        <v>59</v>
      </c>
      <c r="C79" s="7"/>
      <c r="D79" s="7"/>
      <c r="E79" s="7"/>
      <c r="F79" s="7"/>
      <c r="G79" s="18"/>
      <c r="H79" s="7"/>
      <c r="I79" s="7"/>
    </row>
    <row r="80" spans="1:18" s="59" customFormat="1" ht="19.5" customHeight="1" x14ac:dyDescent="0.4">
      <c r="A80" s="68"/>
      <c r="B80" s="174" t="s">
        <v>10</v>
      </c>
      <c r="C80" s="174"/>
      <c r="D80" s="174"/>
      <c r="E80" s="9" t="s">
        <v>13</v>
      </c>
      <c r="F80" s="183" t="s">
        <v>21</v>
      </c>
      <c r="G80" s="184"/>
      <c r="H80" s="58" t="s">
        <v>12</v>
      </c>
      <c r="I80" s="16" t="s">
        <v>30</v>
      </c>
    </row>
    <row r="81" spans="1:14" s="68" customFormat="1" x14ac:dyDescent="0.4">
      <c r="B81" s="69" t="s">
        <v>0</v>
      </c>
      <c r="C81" s="70"/>
      <c r="D81" s="160" t="s">
        <v>2</v>
      </c>
      <c r="E81" s="149" t="s">
        <v>80</v>
      </c>
      <c r="F81" s="183" t="s">
        <v>19</v>
      </c>
      <c r="G81" s="184"/>
      <c r="H81" s="73">
        <f>H21</f>
        <v>67785.583129328574</v>
      </c>
      <c r="I81" s="170" t="s">
        <v>243</v>
      </c>
    </row>
    <row r="82" spans="1:14" ht="19.5" customHeight="1" x14ac:dyDescent="0.4">
      <c r="A82" s="59"/>
      <c r="B82" s="69" t="s">
        <v>3</v>
      </c>
      <c r="C82" s="70"/>
      <c r="D82" s="160" t="s">
        <v>2</v>
      </c>
      <c r="E82" s="149" t="s">
        <v>80</v>
      </c>
      <c r="F82" s="183" t="s">
        <v>19</v>
      </c>
      <c r="G82" s="184"/>
      <c r="H82" s="73">
        <f>H53</f>
        <v>41242.481199840353</v>
      </c>
      <c r="I82" s="24" t="s">
        <v>244</v>
      </c>
    </row>
    <row r="83" spans="1:14" ht="39" customHeight="1" x14ac:dyDescent="0.4">
      <c r="A83" s="68"/>
      <c r="B83" s="187" t="s">
        <v>61</v>
      </c>
      <c r="C83" s="188"/>
      <c r="D83" s="189"/>
      <c r="E83" s="25" t="s">
        <v>31</v>
      </c>
      <c r="F83" s="183" t="s">
        <v>19</v>
      </c>
      <c r="G83" s="184"/>
      <c r="H83" s="76">
        <f>1-H82/H81</f>
        <v>0.39157444258975327</v>
      </c>
      <c r="I83" s="24" t="s">
        <v>245</v>
      </c>
    </row>
    <row r="84" spans="1:14" ht="19.5" customHeight="1" x14ac:dyDescent="0.4">
      <c r="B84" s="69" t="s">
        <v>0</v>
      </c>
      <c r="C84" s="70"/>
      <c r="D84" s="63" t="s">
        <v>60</v>
      </c>
      <c r="E84" s="96" t="s">
        <v>80</v>
      </c>
      <c r="F84" s="183" t="s">
        <v>19</v>
      </c>
      <c r="G84" s="184"/>
      <c r="H84" s="73">
        <f>H41</f>
        <v>83962.842513600015</v>
      </c>
      <c r="I84" s="24" t="s">
        <v>198</v>
      </c>
    </row>
    <row r="85" spans="1:14" s="68" customFormat="1" ht="19.5" customHeight="1" x14ac:dyDescent="0.4">
      <c r="A85" s="7"/>
      <c r="B85" s="69" t="s">
        <v>3</v>
      </c>
      <c r="C85" s="70"/>
      <c r="D85" s="63" t="s">
        <v>60</v>
      </c>
      <c r="E85" s="96" t="s">
        <v>80</v>
      </c>
      <c r="F85" s="183" t="s">
        <v>19</v>
      </c>
      <c r="G85" s="184"/>
      <c r="H85" s="73">
        <f>H73</f>
        <v>54563</v>
      </c>
      <c r="I85" s="24" t="s">
        <v>199</v>
      </c>
    </row>
    <row r="86" spans="1:14" s="68" customFormat="1" ht="39" customHeight="1" x14ac:dyDescent="0.4">
      <c r="A86" s="7"/>
      <c r="B86" s="187" t="s">
        <v>62</v>
      </c>
      <c r="C86" s="188"/>
      <c r="D86" s="189"/>
      <c r="E86" s="25" t="s">
        <v>31</v>
      </c>
      <c r="F86" s="183" t="s">
        <v>19</v>
      </c>
      <c r="G86" s="184"/>
      <c r="H86" s="76">
        <f>1-H85/H84</f>
        <v>0.35015301570856094</v>
      </c>
      <c r="I86" s="24" t="s">
        <v>242</v>
      </c>
    </row>
    <row r="87" spans="1:14" ht="19.5" customHeight="1" x14ac:dyDescent="0.4">
      <c r="A87" s="68"/>
    </row>
    <row r="88" spans="1:14" s="68" customFormat="1" ht="19.5" customHeight="1" x14ac:dyDescent="0.4">
      <c r="B88" s="14" t="s">
        <v>14</v>
      </c>
      <c r="C88" s="7"/>
      <c r="D88" s="7"/>
      <c r="E88" s="7"/>
      <c r="F88" s="7"/>
      <c r="G88" s="18"/>
      <c r="H88" s="7"/>
      <c r="I88" s="7"/>
    </row>
    <row r="89" spans="1:14" s="68" customFormat="1" x14ac:dyDescent="0.4">
      <c r="A89" s="7"/>
      <c r="B89" s="174" t="s">
        <v>10</v>
      </c>
      <c r="C89" s="174"/>
      <c r="D89" s="174"/>
      <c r="E89" s="9" t="s">
        <v>13</v>
      </c>
      <c r="F89" s="183" t="s">
        <v>21</v>
      </c>
      <c r="G89" s="184"/>
      <c r="H89" s="8" t="s">
        <v>24</v>
      </c>
      <c r="I89" s="9" t="s">
        <v>20</v>
      </c>
      <c r="K89" s="183" t="s">
        <v>66</v>
      </c>
      <c r="L89" s="184"/>
    </row>
    <row r="90" spans="1:14" s="68" customFormat="1" ht="20.25" customHeight="1" x14ac:dyDescent="0.4">
      <c r="B90" s="196" t="s">
        <v>0</v>
      </c>
      <c r="C90" s="180" t="s">
        <v>156</v>
      </c>
      <c r="D90" s="127" t="s">
        <v>24</v>
      </c>
      <c r="E90" s="124" t="s">
        <v>65</v>
      </c>
      <c r="F90" s="212" t="s">
        <v>127</v>
      </c>
      <c r="G90" s="213"/>
      <c r="H90" s="119">
        <f>H22*L90*10^-3</f>
        <v>4558.9734924799995</v>
      </c>
      <c r="I90" s="24" t="s">
        <v>22</v>
      </c>
      <c r="K90" s="61" t="s">
        <v>67</v>
      </c>
      <c r="L90" s="197">
        <v>9.68</v>
      </c>
    </row>
    <row r="91" spans="1:14" s="19" customFormat="1" ht="20.25" x14ac:dyDescent="0.4">
      <c r="A91" s="68"/>
      <c r="B91" s="178"/>
      <c r="C91" s="178"/>
      <c r="D91" s="127" t="s">
        <v>120</v>
      </c>
      <c r="E91" s="124" t="s">
        <v>65</v>
      </c>
      <c r="F91" s="193" t="s">
        <v>128</v>
      </c>
      <c r="G91" s="194"/>
      <c r="H91" s="120">
        <f>H24*L92*10^-3</f>
        <v>5.279854767999999</v>
      </c>
      <c r="I91" s="79" t="s">
        <v>201</v>
      </c>
      <c r="K91" s="60" t="s">
        <v>68</v>
      </c>
      <c r="L91" s="174"/>
      <c r="M91" s="20"/>
      <c r="N91" s="20"/>
    </row>
    <row r="92" spans="1:14" s="68" customFormat="1" ht="18.75" customHeight="1" x14ac:dyDescent="0.4">
      <c r="B92" s="178"/>
      <c r="C92" s="178"/>
      <c r="D92" s="177" t="s">
        <v>130</v>
      </c>
      <c r="E92" s="78" t="s">
        <v>131</v>
      </c>
      <c r="F92" s="193" t="s">
        <v>129</v>
      </c>
      <c r="G92" s="194"/>
      <c r="H92" s="120">
        <f>H26*L94*10^-6</f>
        <v>10.114745255039999</v>
      </c>
      <c r="I92" s="161" t="s">
        <v>202</v>
      </c>
      <c r="K92" s="78" t="s">
        <v>120</v>
      </c>
      <c r="L92" s="174">
        <v>30.7</v>
      </c>
    </row>
    <row r="93" spans="1:14" s="19" customFormat="1" ht="19.5" customHeight="1" x14ac:dyDescent="0.4">
      <c r="B93" s="178"/>
      <c r="C93" s="178"/>
      <c r="D93" s="178"/>
      <c r="E93" s="78" t="s">
        <v>132</v>
      </c>
      <c r="F93" s="193" t="s">
        <v>135</v>
      </c>
      <c r="G93" s="194"/>
      <c r="H93" s="121">
        <f>H27*L96*10^-6</f>
        <v>37.857246615519998</v>
      </c>
      <c r="I93" s="24" t="s">
        <v>203</v>
      </c>
      <c r="K93" s="60" t="s">
        <v>122</v>
      </c>
      <c r="L93" s="174"/>
      <c r="M93" s="20"/>
      <c r="N93" s="20"/>
    </row>
    <row r="94" spans="1:14" s="68" customFormat="1" ht="19.5" customHeight="1" x14ac:dyDescent="0.4">
      <c r="B94" s="178"/>
      <c r="C94" s="178"/>
      <c r="D94" s="178"/>
      <c r="E94" s="78" t="s">
        <v>133</v>
      </c>
      <c r="F94" s="193" t="s">
        <v>136</v>
      </c>
      <c r="G94" s="194"/>
      <c r="H94" s="121">
        <f>H28*L98*10^-6</f>
        <v>1191.8101936319999</v>
      </c>
      <c r="I94" s="24" t="s">
        <v>204</v>
      </c>
      <c r="K94" s="78" t="s">
        <v>121</v>
      </c>
      <c r="L94" s="174">
        <v>78.599999999999994</v>
      </c>
    </row>
    <row r="95" spans="1:14" s="68" customFormat="1" ht="19.5" customHeight="1" x14ac:dyDescent="0.4">
      <c r="A95" s="19"/>
      <c r="B95" s="178"/>
      <c r="C95" s="178"/>
      <c r="D95" s="185"/>
      <c r="E95" s="78" t="s">
        <v>159</v>
      </c>
      <c r="F95" s="193" t="s">
        <v>160</v>
      </c>
      <c r="G95" s="194"/>
      <c r="H95" s="121">
        <f>H29*L102*10^-6</f>
        <v>5848.9627759359992</v>
      </c>
      <c r="I95" s="79" t="s">
        <v>205</v>
      </c>
      <c r="K95" s="95" t="s">
        <v>123</v>
      </c>
      <c r="L95" s="174"/>
    </row>
    <row r="96" spans="1:14" s="68" customFormat="1" ht="19.5" customHeight="1" x14ac:dyDescent="0.4">
      <c r="B96" s="178"/>
      <c r="C96" s="179"/>
      <c r="D96" s="186"/>
      <c r="E96" s="128" t="s">
        <v>65</v>
      </c>
      <c r="F96" s="183" t="s">
        <v>19</v>
      </c>
      <c r="G96" s="184"/>
      <c r="H96" s="122">
        <f>H92+H93+H94+H95</f>
        <v>7088.7449614385587</v>
      </c>
      <c r="I96" s="161" t="s">
        <v>206</v>
      </c>
      <c r="K96" s="78" t="s">
        <v>64</v>
      </c>
      <c r="L96" s="201">
        <v>220123</v>
      </c>
    </row>
    <row r="97" spans="1:18" s="68" customFormat="1" x14ac:dyDescent="0.4">
      <c r="B97" s="179"/>
      <c r="C97" s="77"/>
      <c r="D97" s="139" t="s">
        <v>69</v>
      </c>
      <c r="E97" s="124" t="s">
        <v>65</v>
      </c>
      <c r="F97" s="190" t="s">
        <v>19</v>
      </c>
      <c r="G97" s="191"/>
      <c r="H97" s="123">
        <f>H90+H91+H96</f>
        <v>11652.998308686558</v>
      </c>
      <c r="I97" s="24" t="s">
        <v>207</v>
      </c>
      <c r="K97" s="95" t="s">
        <v>123</v>
      </c>
      <c r="L97" s="174"/>
    </row>
    <row r="98" spans="1:18" s="68" customFormat="1" ht="20.25" x14ac:dyDescent="0.4">
      <c r="B98" s="177" t="s">
        <v>3</v>
      </c>
      <c r="C98" s="177" t="s">
        <v>76</v>
      </c>
      <c r="D98" s="66" t="s">
        <v>24</v>
      </c>
      <c r="E98" s="94" t="s">
        <v>65</v>
      </c>
      <c r="F98" s="212" t="s">
        <v>127</v>
      </c>
      <c r="G98" s="213"/>
      <c r="H98" s="119">
        <f>H54*L90*10^-3</f>
        <v>3633.9770860800004</v>
      </c>
      <c r="I98" s="24" t="s">
        <v>186</v>
      </c>
      <c r="K98" s="78" t="s">
        <v>124</v>
      </c>
      <c r="L98" s="201">
        <v>4068</v>
      </c>
    </row>
    <row r="99" spans="1:18" s="68" customFormat="1" ht="19.5" customHeight="1" x14ac:dyDescent="0.4">
      <c r="B99" s="178"/>
      <c r="C99" s="178"/>
      <c r="D99" s="66" t="s">
        <v>126</v>
      </c>
      <c r="E99" s="65" t="s">
        <v>65</v>
      </c>
      <c r="F99" s="193" t="s">
        <v>128</v>
      </c>
      <c r="G99" s="194"/>
      <c r="H99" s="120">
        <f>H56*L92*10^-3</f>
        <v>5.2658747247999997</v>
      </c>
      <c r="I99" s="79" t="s">
        <v>208</v>
      </c>
      <c r="K99" s="95" t="s">
        <v>123</v>
      </c>
      <c r="L99" s="174"/>
    </row>
    <row r="100" spans="1:18" s="68" customFormat="1" ht="20.100000000000001" customHeight="1" x14ac:dyDescent="0.4">
      <c r="B100" s="178"/>
      <c r="C100" s="178"/>
      <c r="D100" s="177" t="s">
        <v>130</v>
      </c>
      <c r="E100" s="78" t="s">
        <v>131</v>
      </c>
      <c r="F100" s="193" t="s">
        <v>129</v>
      </c>
      <c r="G100" s="194"/>
      <c r="H100" s="120">
        <f>H58*L94*10^-6</f>
        <v>10.112082884399998</v>
      </c>
      <c r="I100" s="161" t="s">
        <v>209</v>
      </c>
      <c r="K100" s="144" t="s">
        <v>125</v>
      </c>
      <c r="L100" s="202">
        <v>587</v>
      </c>
    </row>
    <row r="101" spans="1:18" s="99" customFormat="1" ht="18.75" customHeight="1" x14ac:dyDescent="0.4">
      <c r="B101" s="178"/>
      <c r="C101" s="178"/>
      <c r="D101" s="178"/>
      <c r="E101" s="78" t="s">
        <v>132</v>
      </c>
      <c r="F101" s="193" t="s">
        <v>135</v>
      </c>
      <c r="G101" s="194"/>
      <c r="H101" s="121">
        <f>H59*L96*10^-6</f>
        <v>37.757007884271992</v>
      </c>
      <c r="I101" s="24" t="s">
        <v>210</v>
      </c>
      <c r="K101" s="129" t="s">
        <v>123</v>
      </c>
      <c r="L101" s="202"/>
      <c r="Q101" s="11"/>
      <c r="R101" s="101"/>
    </row>
    <row r="102" spans="1:18" s="99" customFormat="1" ht="18.75" customHeight="1" x14ac:dyDescent="0.4">
      <c r="B102" s="178"/>
      <c r="C102" s="178"/>
      <c r="D102" s="178"/>
      <c r="E102" s="78" t="s">
        <v>133</v>
      </c>
      <c r="F102" s="193" t="s">
        <v>136</v>
      </c>
      <c r="G102" s="194"/>
      <c r="H102" s="121">
        <f>H60*L98*10^-6</f>
        <v>3113.1352177920003</v>
      </c>
      <c r="I102" s="24" t="s">
        <v>26</v>
      </c>
      <c r="K102" s="144" t="s">
        <v>200</v>
      </c>
      <c r="L102" s="200">
        <v>11977</v>
      </c>
      <c r="O102" s="15"/>
      <c r="P102" s="100"/>
      <c r="Q102" s="100"/>
      <c r="R102" s="101"/>
    </row>
    <row r="103" spans="1:18" s="99" customFormat="1" ht="18.75" customHeight="1" x14ac:dyDescent="0.4">
      <c r="B103" s="178"/>
      <c r="C103" s="178"/>
      <c r="D103" s="185"/>
      <c r="E103" s="78" t="s">
        <v>134</v>
      </c>
      <c r="F103" s="193" t="s">
        <v>137</v>
      </c>
      <c r="G103" s="194"/>
      <c r="H103" s="121">
        <f>H61*L100*10^-6</f>
        <v>11.977542229199997</v>
      </c>
      <c r="I103" s="79" t="s">
        <v>211</v>
      </c>
      <c r="K103" s="159" t="s">
        <v>123</v>
      </c>
      <c r="L103" s="200"/>
      <c r="O103" s="15"/>
      <c r="P103" s="100"/>
      <c r="Q103" s="100"/>
      <c r="R103" s="101"/>
    </row>
    <row r="104" spans="1:18" s="99" customFormat="1" ht="18.75" customHeight="1" x14ac:dyDescent="0.4">
      <c r="B104" s="178"/>
      <c r="C104" s="179"/>
      <c r="D104" s="186"/>
      <c r="E104" s="96" t="s">
        <v>138</v>
      </c>
      <c r="F104" s="183" t="s">
        <v>19</v>
      </c>
      <c r="G104" s="184"/>
      <c r="H104" s="122">
        <f>H100+H101+H102+H103</f>
        <v>3172.9818507898722</v>
      </c>
      <c r="I104" s="161" t="s">
        <v>212</v>
      </c>
      <c r="K104" s="175" t="s">
        <v>214</v>
      </c>
      <c r="L104" s="176"/>
      <c r="O104" s="15"/>
      <c r="P104" s="100"/>
      <c r="Q104" s="100"/>
      <c r="R104" s="101"/>
    </row>
    <row r="105" spans="1:18" s="99" customFormat="1" ht="19.5" customHeight="1" x14ac:dyDescent="0.4">
      <c r="B105" s="179"/>
      <c r="C105" s="77"/>
      <c r="D105" s="64" t="s">
        <v>69</v>
      </c>
      <c r="E105" s="94" t="s">
        <v>65</v>
      </c>
      <c r="F105" s="212" t="s">
        <v>227</v>
      </c>
      <c r="G105" s="213"/>
      <c r="H105" s="123">
        <f>29.26*D6 +980.6</f>
        <v>6811.5328000000009</v>
      </c>
      <c r="I105" s="24" t="s">
        <v>226</v>
      </c>
      <c r="K105" s="114"/>
      <c r="L105" s="114"/>
      <c r="O105" s="100"/>
      <c r="P105" s="100"/>
      <c r="Q105" s="100"/>
      <c r="R105" s="101"/>
    </row>
    <row r="106" spans="1:18" ht="39" customHeight="1" x14ac:dyDescent="0.4">
      <c r="A106" s="68"/>
      <c r="B106" s="241" t="s">
        <v>14</v>
      </c>
      <c r="C106" s="242"/>
      <c r="D106" s="243"/>
      <c r="E106" s="65" t="s">
        <v>70</v>
      </c>
      <c r="F106" s="190" t="s">
        <v>32</v>
      </c>
      <c r="G106" s="191"/>
      <c r="H106" s="81">
        <f>1-H105/H97</f>
        <v>0.41546951097363127</v>
      </c>
      <c r="I106" s="24" t="s">
        <v>213</v>
      </c>
      <c r="K106" s="114"/>
      <c r="L106" s="114"/>
      <c r="P106" s="1" t="s">
        <v>46</v>
      </c>
    </row>
    <row r="107" spans="1:18" s="19" customFormat="1" ht="19.5" customHeight="1" x14ac:dyDescent="0.4">
      <c r="A107" s="7"/>
      <c r="B107" s="7"/>
      <c r="C107" s="7"/>
      <c r="D107" s="7"/>
      <c r="E107" s="7"/>
      <c r="F107" s="7"/>
      <c r="G107" s="18"/>
      <c r="H107" s="158"/>
      <c r="I107" s="7"/>
      <c r="K107" s="114"/>
      <c r="L107" s="114"/>
      <c r="M107" s="20"/>
      <c r="N107" s="20"/>
    </row>
    <row r="108" spans="1:18" s="22" customFormat="1" ht="19.5" customHeight="1" x14ac:dyDescent="0.4">
      <c r="A108" s="7"/>
      <c r="B108" s="14" t="s">
        <v>15</v>
      </c>
      <c r="C108" s="7"/>
      <c r="D108" s="7"/>
      <c r="E108" s="7"/>
      <c r="F108" s="7"/>
      <c r="G108" s="18"/>
      <c r="H108" s="7"/>
      <c r="I108" s="7"/>
      <c r="K108" s="113"/>
      <c r="L108" s="113"/>
    </row>
    <row r="109" spans="1:18" s="68" customFormat="1" ht="19.5" customHeight="1" x14ac:dyDescent="0.4">
      <c r="A109" s="19"/>
      <c r="B109" s="174" t="s">
        <v>10</v>
      </c>
      <c r="C109" s="174"/>
      <c r="D109" s="174"/>
      <c r="E109" s="9" t="s">
        <v>13</v>
      </c>
      <c r="F109" s="183" t="s">
        <v>21</v>
      </c>
      <c r="G109" s="184"/>
      <c r="H109" s="8" t="s">
        <v>16</v>
      </c>
      <c r="I109" s="9" t="s">
        <v>8</v>
      </c>
      <c r="K109" s="183" t="s">
        <v>139</v>
      </c>
      <c r="L109" s="184"/>
    </row>
    <row r="110" spans="1:18" ht="19.5" customHeight="1" x14ac:dyDescent="0.4">
      <c r="A110" s="22"/>
      <c r="B110" s="177" t="s">
        <v>0</v>
      </c>
      <c r="C110" s="180" t="s">
        <v>156</v>
      </c>
      <c r="D110" s="127" t="s">
        <v>24</v>
      </c>
      <c r="E110" s="12" t="s">
        <v>23</v>
      </c>
      <c r="F110" s="212" t="s">
        <v>147</v>
      </c>
      <c r="G110" s="213"/>
      <c r="H110" s="119">
        <f>H22*L110</f>
        <v>259.0325848</v>
      </c>
      <c r="I110" s="24" t="s">
        <v>22</v>
      </c>
      <c r="K110" s="118" t="s">
        <v>24</v>
      </c>
      <c r="L110" s="198">
        <v>5.5000000000000003E-4</v>
      </c>
    </row>
    <row r="111" spans="1:18" s="20" customFormat="1" ht="19.5" customHeight="1" x14ac:dyDescent="0.4">
      <c r="A111" s="68"/>
      <c r="B111" s="178"/>
      <c r="C111" s="178"/>
      <c r="D111" s="127" t="s">
        <v>120</v>
      </c>
      <c r="E111" s="12" t="s">
        <v>23</v>
      </c>
      <c r="F111" s="193" t="s">
        <v>148</v>
      </c>
      <c r="G111" s="194"/>
      <c r="H111" s="171">
        <f>H24*L112</f>
        <v>0.34396447999999996</v>
      </c>
      <c r="I111" s="79" t="s">
        <v>201</v>
      </c>
      <c r="K111" s="117" t="s">
        <v>140</v>
      </c>
      <c r="L111" s="199"/>
    </row>
    <row r="112" spans="1:18" ht="19.5" customHeight="1" x14ac:dyDescent="0.4">
      <c r="B112" s="178"/>
      <c r="C112" s="178"/>
      <c r="D112" s="177" t="s">
        <v>130</v>
      </c>
      <c r="E112" s="78" t="s">
        <v>144</v>
      </c>
      <c r="F112" s="193" t="s">
        <v>149</v>
      </c>
      <c r="G112" s="194"/>
      <c r="H112" s="171">
        <f>H26*L114*10^-3</f>
        <v>3.9635388531200002</v>
      </c>
      <c r="I112" s="161" t="s">
        <v>202</v>
      </c>
      <c r="K112" s="78" t="s">
        <v>120</v>
      </c>
      <c r="L112" s="174">
        <v>2E-3</v>
      </c>
    </row>
    <row r="113" spans="1:18" ht="19.5" customHeight="1" x14ac:dyDescent="0.4">
      <c r="A113" s="20"/>
      <c r="B113" s="178"/>
      <c r="C113" s="178"/>
      <c r="D113" s="178"/>
      <c r="E113" s="78" t="s">
        <v>143</v>
      </c>
      <c r="F113" s="193" t="s">
        <v>150</v>
      </c>
      <c r="G113" s="194"/>
      <c r="H113" s="121">
        <f>H27*L116*10^-3</f>
        <v>1.11788456</v>
      </c>
      <c r="I113" s="24" t="s">
        <v>203</v>
      </c>
      <c r="K113" s="117" t="s">
        <v>141</v>
      </c>
      <c r="L113" s="174"/>
    </row>
    <row r="114" spans="1:18" ht="19.5" customHeight="1" x14ac:dyDescent="0.4">
      <c r="B114" s="178"/>
      <c r="C114" s="178"/>
      <c r="D114" s="178"/>
      <c r="E114" s="78" t="s">
        <v>145</v>
      </c>
      <c r="F114" s="193" t="s">
        <v>151</v>
      </c>
      <c r="G114" s="194"/>
      <c r="H114" s="121">
        <f>H28*L118*10^-3</f>
        <v>65.918705399999993</v>
      </c>
      <c r="I114" s="24" t="s">
        <v>204</v>
      </c>
      <c r="K114" s="78" t="s">
        <v>121</v>
      </c>
      <c r="L114" s="174">
        <v>3.0800000000000001E-2</v>
      </c>
    </row>
    <row r="115" spans="1:18" s="19" customFormat="1" ht="19.5" customHeight="1" x14ac:dyDescent="0.4">
      <c r="A115" s="7"/>
      <c r="B115" s="178"/>
      <c r="C115" s="178"/>
      <c r="D115" s="185"/>
      <c r="E115" s="143" t="s">
        <v>161</v>
      </c>
      <c r="F115" s="193" t="s">
        <v>162</v>
      </c>
      <c r="G115" s="194"/>
      <c r="H115" s="121">
        <f>H29*L122*10^-3</f>
        <v>730.08260415999996</v>
      </c>
      <c r="I115" s="79" t="s">
        <v>205</v>
      </c>
      <c r="K115" s="117" t="s">
        <v>142</v>
      </c>
      <c r="L115" s="174"/>
      <c r="M115" s="20"/>
      <c r="N115" s="20"/>
    </row>
    <row r="116" spans="1:18" s="22" customFormat="1" ht="19.5" customHeight="1" x14ac:dyDescent="0.4">
      <c r="A116" s="7"/>
      <c r="B116" s="178"/>
      <c r="C116" s="179"/>
      <c r="D116" s="186"/>
      <c r="E116" s="131" t="s">
        <v>45</v>
      </c>
      <c r="F116" s="183" t="s">
        <v>19</v>
      </c>
      <c r="G116" s="184"/>
      <c r="H116" s="122">
        <f>H112+H113+H114+H115</f>
        <v>801.08273297311996</v>
      </c>
      <c r="I116" s="161" t="s">
        <v>206</v>
      </c>
      <c r="K116" s="78" t="s">
        <v>64</v>
      </c>
      <c r="L116" s="192">
        <v>6.5</v>
      </c>
    </row>
    <row r="117" spans="1:18" ht="19.5" customHeight="1" x14ac:dyDescent="0.4">
      <c r="A117" s="19"/>
      <c r="B117" s="178"/>
      <c r="C117" s="62"/>
      <c r="D117" s="83" t="s">
        <v>71</v>
      </c>
      <c r="E117" s="131" t="s">
        <v>45</v>
      </c>
      <c r="F117" s="190" t="s">
        <v>19</v>
      </c>
      <c r="G117" s="191"/>
      <c r="H117" s="140">
        <f>H110+H111+H116</f>
        <v>1060.4592822531199</v>
      </c>
      <c r="I117" s="24" t="s">
        <v>207</v>
      </c>
      <c r="K117" s="117" t="s">
        <v>142</v>
      </c>
      <c r="L117" s="192"/>
    </row>
    <row r="118" spans="1:18" s="20" customFormat="1" ht="19.5" customHeight="1" x14ac:dyDescent="0.4">
      <c r="A118" s="22"/>
      <c r="B118" s="178"/>
      <c r="C118" s="62"/>
      <c r="D118" s="83" t="s">
        <v>153</v>
      </c>
      <c r="E118" s="131" t="s">
        <v>45</v>
      </c>
      <c r="F118" s="190" t="s">
        <v>72</v>
      </c>
      <c r="G118" s="191"/>
      <c r="H118" s="140">
        <f>H117/80.2*19.3</f>
        <v>255.19780732525206</v>
      </c>
      <c r="I118" s="24" t="s">
        <v>215</v>
      </c>
      <c r="K118" s="78" t="s">
        <v>124</v>
      </c>
      <c r="L118" s="195">
        <v>0.22500000000000001</v>
      </c>
    </row>
    <row r="119" spans="1:18" ht="19.5" customHeight="1" x14ac:dyDescent="0.4">
      <c r="B119" s="178"/>
      <c r="C119" s="137"/>
      <c r="D119" s="83" t="s">
        <v>154</v>
      </c>
      <c r="E119" s="131" t="s">
        <v>45</v>
      </c>
      <c r="F119" s="190" t="s">
        <v>73</v>
      </c>
      <c r="G119" s="191"/>
      <c r="H119" s="6">
        <f>H117/80.2*0.5</f>
        <v>6.6113421586852859</v>
      </c>
      <c r="I119" s="24" t="s">
        <v>216</v>
      </c>
      <c r="K119" s="117" t="s">
        <v>142</v>
      </c>
      <c r="L119" s="195"/>
      <c r="O119" s="211"/>
      <c r="P119" s="211"/>
      <c r="Q119" s="4"/>
      <c r="R119" s="5"/>
    </row>
    <row r="120" spans="1:18" ht="19.5" customHeight="1" x14ac:dyDescent="0.4">
      <c r="A120" s="20"/>
      <c r="B120" s="179"/>
      <c r="C120" s="62"/>
      <c r="D120" s="136" t="s">
        <v>1</v>
      </c>
      <c r="E120" s="12" t="s">
        <v>23</v>
      </c>
      <c r="F120" s="183" t="s">
        <v>19</v>
      </c>
      <c r="G120" s="184"/>
      <c r="H120" s="123">
        <f>H117+H118+H119</f>
        <v>1322.2684317370574</v>
      </c>
      <c r="I120" s="44" t="s">
        <v>217</v>
      </c>
      <c r="K120" s="78" t="s">
        <v>125</v>
      </c>
      <c r="L120" s="174">
        <v>4.3499999999999997E-2</v>
      </c>
      <c r="O120" s="1"/>
    </row>
    <row r="121" spans="1:18" ht="19.5" customHeight="1" x14ac:dyDescent="0.4">
      <c r="B121" s="177" t="s">
        <v>3</v>
      </c>
      <c r="C121" s="177" t="s">
        <v>76</v>
      </c>
      <c r="D121" s="115" t="s">
        <v>24</v>
      </c>
      <c r="E121" s="12" t="s">
        <v>23</v>
      </c>
      <c r="F121" s="212" t="s">
        <v>147</v>
      </c>
      <c r="G121" s="213"/>
      <c r="H121" s="119">
        <f>H54*L110</f>
        <v>206.47597080000003</v>
      </c>
      <c r="I121" s="24" t="s">
        <v>210</v>
      </c>
      <c r="K121" s="117" t="s">
        <v>142</v>
      </c>
      <c r="L121" s="174"/>
      <c r="Q121" s="2"/>
      <c r="R121" s="1"/>
    </row>
    <row r="122" spans="1:18" ht="20.25" x14ac:dyDescent="0.4">
      <c r="B122" s="178"/>
      <c r="C122" s="178"/>
      <c r="D122" s="115" t="s">
        <v>120</v>
      </c>
      <c r="E122" s="12" t="s">
        <v>23</v>
      </c>
      <c r="F122" s="193" t="s">
        <v>148</v>
      </c>
      <c r="G122" s="194"/>
      <c r="H122" s="120">
        <f>H56*L112</f>
        <v>0.343053728</v>
      </c>
      <c r="I122" s="79" t="s">
        <v>26</v>
      </c>
      <c r="K122" s="78" t="s">
        <v>200</v>
      </c>
      <c r="L122" s="174">
        <v>1.4950000000000001</v>
      </c>
      <c r="Q122" s="6"/>
      <c r="R122" s="1"/>
    </row>
    <row r="123" spans="1:18" ht="20.25" x14ac:dyDescent="0.4">
      <c r="B123" s="178"/>
      <c r="C123" s="178"/>
      <c r="D123" s="177" t="s">
        <v>130</v>
      </c>
      <c r="E123" s="78" t="s">
        <v>144</v>
      </c>
      <c r="F123" s="193" t="s">
        <v>149</v>
      </c>
      <c r="G123" s="194"/>
      <c r="H123" s="120">
        <f>H58*L114*10^-3</f>
        <v>3.9624955831999999</v>
      </c>
      <c r="I123" s="24" t="s">
        <v>211</v>
      </c>
      <c r="K123" s="157" t="s">
        <v>142</v>
      </c>
      <c r="L123" s="174"/>
    </row>
    <row r="124" spans="1:18" s="68" customFormat="1" ht="20.25" x14ac:dyDescent="0.4">
      <c r="A124" s="7"/>
      <c r="B124" s="178"/>
      <c r="C124" s="178"/>
      <c r="D124" s="178"/>
      <c r="E124" s="78" t="s">
        <v>143</v>
      </c>
      <c r="F124" s="193" t="s">
        <v>150</v>
      </c>
      <c r="G124" s="194"/>
      <c r="H124" s="121">
        <f>H59*L116*10^-3</f>
        <v>1.1149246160000001</v>
      </c>
      <c r="I124" s="79" t="s">
        <v>28</v>
      </c>
      <c r="K124" s="175" t="s">
        <v>214</v>
      </c>
      <c r="L124" s="176"/>
      <c r="Q124" s="6"/>
      <c r="R124" s="1"/>
    </row>
    <row r="125" spans="1:18" s="68" customFormat="1" ht="20.25" x14ac:dyDescent="0.4">
      <c r="A125" s="7"/>
      <c r="B125" s="178"/>
      <c r="C125" s="178"/>
      <c r="D125" s="178"/>
      <c r="E125" s="78" t="s">
        <v>145</v>
      </c>
      <c r="F125" s="193" t="s">
        <v>151</v>
      </c>
      <c r="G125" s="194"/>
      <c r="H125" s="121">
        <f>H60*L118*10^-3</f>
        <v>172.18668240000002</v>
      </c>
      <c r="I125" s="24" t="s">
        <v>218</v>
      </c>
    </row>
    <row r="126" spans="1:18" ht="20.25" x14ac:dyDescent="0.4">
      <c r="A126" s="68"/>
      <c r="B126" s="178"/>
      <c r="C126" s="178"/>
      <c r="D126" s="185"/>
      <c r="E126" s="78" t="s">
        <v>146</v>
      </c>
      <c r="F126" s="193" t="s">
        <v>152</v>
      </c>
      <c r="G126" s="194"/>
      <c r="H126" s="121">
        <f>H61*L120*10^-3</f>
        <v>0.88760321459999991</v>
      </c>
      <c r="I126" s="79" t="s">
        <v>29</v>
      </c>
      <c r="K126" s="114"/>
      <c r="L126" s="114"/>
    </row>
    <row r="127" spans="1:18" ht="20.25" x14ac:dyDescent="0.4">
      <c r="A127" s="68"/>
      <c r="B127" s="178"/>
      <c r="C127" s="179"/>
      <c r="D127" s="186"/>
      <c r="E127" s="116" t="s">
        <v>45</v>
      </c>
      <c r="F127" s="183" t="s">
        <v>19</v>
      </c>
      <c r="G127" s="184"/>
      <c r="H127" s="122">
        <f>H123+H124+H125+H126</f>
        <v>178.15170581380002</v>
      </c>
      <c r="I127" s="161" t="s">
        <v>219</v>
      </c>
      <c r="K127" s="114"/>
      <c r="L127" s="114"/>
    </row>
    <row r="128" spans="1:18" ht="18.75" customHeight="1" x14ac:dyDescent="0.4">
      <c r="B128" s="178"/>
      <c r="C128" s="62"/>
      <c r="D128" s="83" t="s">
        <v>71</v>
      </c>
      <c r="E128" s="67" t="s">
        <v>45</v>
      </c>
      <c r="F128" s="190" t="s">
        <v>19</v>
      </c>
      <c r="G128" s="191"/>
      <c r="H128" s="140">
        <f>H121+H122+H127</f>
        <v>384.97073034180005</v>
      </c>
      <c r="I128" s="24" t="s">
        <v>220</v>
      </c>
      <c r="K128" s="114"/>
      <c r="L128" s="114"/>
    </row>
    <row r="129" spans="2:12" ht="20.25" x14ac:dyDescent="0.4">
      <c r="B129" s="178"/>
      <c r="C129" s="62"/>
      <c r="D129" s="83" t="s">
        <v>153</v>
      </c>
      <c r="E129" s="67" t="s">
        <v>45</v>
      </c>
      <c r="F129" s="190" t="s">
        <v>72</v>
      </c>
      <c r="G129" s="191"/>
      <c r="H129" s="140">
        <f>H128/80.2*19.3</f>
        <v>92.642582239360863</v>
      </c>
      <c r="I129" s="24" t="s">
        <v>221</v>
      </c>
      <c r="K129" s="114"/>
      <c r="L129" s="114"/>
    </row>
    <row r="130" spans="2:12" ht="18.75" customHeight="1" x14ac:dyDescent="0.4">
      <c r="B130" s="178"/>
      <c r="C130" s="69"/>
      <c r="D130" s="83" t="s">
        <v>154</v>
      </c>
      <c r="E130" s="67" t="s">
        <v>45</v>
      </c>
      <c r="F130" s="190" t="s">
        <v>73</v>
      </c>
      <c r="G130" s="191"/>
      <c r="H130" s="6">
        <f>H128/80.2*0.5</f>
        <v>2.4000668973927684</v>
      </c>
      <c r="I130" s="24" t="s">
        <v>222</v>
      </c>
      <c r="K130" s="114"/>
      <c r="L130" s="114"/>
    </row>
    <row r="131" spans="2:12" ht="20.25" x14ac:dyDescent="0.4">
      <c r="B131" s="179"/>
      <c r="C131" s="62"/>
      <c r="D131" s="74" t="s">
        <v>1</v>
      </c>
      <c r="E131" s="12" t="s">
        <v>23</v>
      </c>
      <c r="F131" s="212" t="s">
        <v>224</v>
      </c>
      <c r="G131" s="213"/>
      <c r="H131" s="123">
        <f>2.06*D6 + 69.42</f>
        <v>479.93680000000001</v>
      </c>
      <c r="I131" s="44" t="s">
        <v>225</v>
      </c>
      <c r="K131" s="114"/>
      <c r="L131" s="114"/>
    </row>
    <row r="132" spans="2:12" ht="30" x14ac:dyDescent="0.4">
      <c r="B132" s="187" t="s">
        <v>15</v>
      </c>
      <c r="C132" s="222"/>
      <c r="D132" s="222"/>
      <c r="E132" s="17" t="s">
        <v>31</v>
      </c>
      <c r="F132" s="239" t="s">
        <v>32</v>
      </c>
      <c r="G132" s="240"/>
      <c r="H132" s="43">
        <f>1-H131/H120</f>
        <v>0.63703527326179188</v>
      </c>
      <c r="I132" s="45" t="s">
        <v>223</v>
      </c>
      <c r="K132" s="114"/>
      <c r="L132" s="114"/>
    </row>
    <row r="133" spans="2:12" x14ac:dyDescent="0.4">
      <c r="K133" s="82"/>
    </row>
    <row r="134" spans="2:12" s="158" customFormat="1" x14ac:dyDescent="0.4">
      <c r="B134" s="181" t="s">
        <v>246</v>
      </c>
      <c r="C134" s="182"/>
      <c r="D134" s="182"/>
      <c r="E134" s="182"/>
      <c r="F134" s="182"/>
      <c r="G134" s="182"/>
      <c r="H134" s="182"/>
      <c r="I134" s="182"/>
    </row>
    <row r="135" spans="2:12" s="158" customFormat="1" x14ac:dyDescent="0.4">
      <c r="B135" s="182"/>
      <c r="C135" s="182"/>
      <c r="D135" s="182"/>
      <c r="E135" s="182"/>
      <c r="F135" s="182"/>
      <c r="G135" s="182"/>
      <c r="H135" s="182"/>
      <c r="I135" s="182"/>
    </row>
    <row r="147" spans="11:12" x14ac:dyDescent="0.4">
      <c r="K147" s="68"/>
      <c r="L147" s="68"/>
    </row>
  </sheetData>
  <mergeCells count="216">
    <mergeCell ref="C45:C73"/>
    <mergeCell ref="C74:C75"/>
    <mergeCell ref="B45:B76"/>
    <mergeCell ref="D45:D46"/>
    <mergeCell ref="E45:E46"/>
    <mergeCell ref="F45:G46"/>
    <mergeCell ref="H45:H46"/>
    <mergeCell ref="I45:I46"/>
    <mergeCell ref="D54:D55"/>
    <mergeCell ref="D56:D57"/>
    <mergeCell ref="F49:G49"/>
    <mergeCell ref="B7:D8"/>
    <mergeCell ref="K19:L20"/>
    <mergeCell ref="D22:D23"/>
    <mergeCell ref="D24:D25"/>
    <mergeCell ref="F21:G21"/>
    <mergeCell ref="C42:C43"/>
    <mergeCell ref="C13:C41"/>
    <mergeCell ref="B13:B44"/>
    <mergeCell ref="D13:D14"/>
    <mergeCell ref="E13:E14"/>
    <mergeCell ref="F13:G14"/>
    <mergeCell ref="H13:H14"/>
    <mergeCell ref="I13:I14"/>
    <mergeCell ref="F41:G41"/>
    <mergeCell ref="D42:D43"/>
    <mergeCell ref="E42:E43"/>
    <mergeCell ref="F42:G43"/>
    <mergeCell ref="H42:H43"/>
    <mergeCell ref="I42:I43"/>
    <mergeCell ref="C44:D44"/>
    <mergeCell ref="F44:G44"/>
    <mergeCell ref="H34:H35"/>
    <mergeCell ref="I34:I35"/>
    <mergeCell ref="E36:E37"/>
    <mergeCell ref="H36:H37"/>
    <mergeCell ref="I36:I37"/>
    <mergeCell ref="F39:G39"/>
    <mergeCell ref="F40:G40"/>
    <mergeCell ref="F19:G19"/>
    <mergeCell ref="F22:G22"/>
    <mergeCell ref="F23:G23"/>
    <mergeCell ref="F24:G24"/>
    <mergeCell ref="F25:G25"/>
    <mergeCell ref="D26:D38"/>
    <mergeCell ref="F26:G26"/>
    <mergeCell ref="F38:G38"/>
    <mergeCell ref="F20:G20"/>
    <mergeCell ref="F27:G27"/>
    <mergeCell ref="F28:G28"/>
    <mergeCell ref="F29:G29"/>
    <mergeCell ref="E30:E31"/>
    <mergeCell ref="F30:G31"/>
    <mergeCell ref="E32:E33"/>
    <mergeCell ref="F32:G33"/>
    <mergeCell ref="E34:E35"/>
    <mergeCell ref="F34:G35"/>
    <mergeCell ref="F36:G37"/>
    <mergeCell ref="F131:G131"/>
    <mergeCell ref="F122:G122"/>
    <mergeCell ref="F123:G123"/>
    <mergeCell ref="F124:G124"/>
    <mergeCell ref="F125:G125"/>
    <mergeCell ref="F126:G126"/>
    <mergeCell ref="F127:G127"/>
    <mergeCell ref="F106:G106"/>
    <mergeCell ref="I74:I75"/>
    <mergeCell ref="H74:H75"/>
    <mergeCell ref="F100:G100"/>
    <mergeCell ref="F101:G101"/>
    <mergeCell ref="F102:G102"/>
    <mergeCell ref="F103:G103"/>
    <mergeCell ref="F98:G98"/>
    <mergeCell ref="F95:G95"/>
    <mergeCell ref="F90:G90"/>
    <mergeCell ref="F91:G91"/>
    <mergeCell ref="F92:G92"/>
    <mergeCell ref="F93:G93"/>
    <mergeCell ref="F96:G96"/>
    <mergeCell ref="F97:G97"/>
    <mergeCell ref="D92:D96"/>
    <mergeCell ref="H62:H63"/>
    <mergeCell ref="I62:I63"/>
    <mergeCell ref="H64:H65"/>
    <mergeCell ref="I64:I65"/>
    <mergeCell ref="F82:G82"/>
    <mergeCell ref="F54:G54"/>
    <mergeCell ref="F55:G55"/>
    <mergeCell ref="F56:G56"/>
    <mergeCell ref="F57:G57"/>
    <mergeCell ref="E62:E63"/>
    <mergeCell ref="E64:E65"/>
    <mergeCell ref="F64:G65"/>
    <mergeCell ref="F59:G59"/>
    <mergeCell ref="F60:G60"/>
    <mergeCell ref="F77:G77"/>
    <mergeCell ref="F76:G76"/>
    <mergeCell ref="F132:G132"/>
    <mergeCell ref="F111:G111"/>
    <mergeCell ref="F109:G109"/>
    <mergeCell ref="F110:G110"/>
    <mergeCell ref="B132:D132"/>
    <mergeCell ref="B106:D106"/>
    <mergeCell ref="F73:G73"/>
    <mergeCell ref="B89:D89"/>
    <mergeCell ref="F89:G89"/>
    <mergeCell ref="F94:G94"/>
    <mergeCell ref="F86:G86"/>
    <mergeCell ref="F84:G84"/>
    <mergeCell ref="F85:G85"/>
    <mergeCell ref="D100:D104"/>
    <mergeCell ref="F112:G112"/>
    <mergeCell ref="F114:G114"/>
    <mergeCell ref="F113:G113"/>
    <mergeCell ref="F99:G99"/>
    <mergeCell ref="F105:G105"/>
    <mergeCell ref="F128:G128"/>
    <mergeCell ref="F129:G129"/>
    <mergeCell ref="F130:G130"/>
    <mergeCell ref="F81:G81"/>
    <mergeCell ref="F83:G83"/>
    <mergeCell ref="B5:C5"/>
    <mergeCell ref="E68:E69"/>
    <mergeCell ref="F72:G72"/>
    <mergeCell ref="B77:D77"/>
    <mergeCell ref="C76:D76"/>
    <mergeCell ref="D74:D75"/>
    <mergeCell ref="E74:E75"/>
    <mergeCell ref="F74:G75"/>
    <mergeCell ref="F61:G61"/>
    <mergeCell ref="F58:G58"/>
    <mergeCell ref="D58:D70"/>
    <mergeCell ref="F50:G50"/>
    <mergeCell ref="F51:G51"/>
    <mergeCell ref="F12:G12"/>
    <mergeCell ref="F16:G16"/>
    <mergeCell ref="F17:G17"/>
    <mergeCell ref="F18:G18"/>
    <mergeCell ref="F15:G15"/>
    <mergeCell ref="B6:C6"/>
    <mergeCell ref="F62:G63"/>
    <mergeCell ref="F53:G53"/>
    <mergeCell ref="F52:G52"/>
    <mergeCell ref="F48:G48"/>
    <mergeCell ref="F47:G47"/>
    <mergeCell ref="B3:C3"/>
    <mergeCell ref="B4:C4"/>
    <mergeCell ref="O119:P119"/>
    <mergeCell ref="B109:D109"/>
    <mergeCell ref="F121:G121"/>
    <mergeCell ref="F120:G120"/>
    <mergeCell ref="F119:G119"/>
    <mergeCell ref="F118:G118"/>
    <mergeCell ref="O69:P69"/>
    <mergeCell ref="F71:G71"/>
    <mergeCell ref="I66:I67"/>
    <mergeCell ref="E66:E67"/>
    <mergeCell ref="F66:G67"/>
    <mergeCell ref="H66:H67"/>
    <mergeCell ref="F70:G70"/>
    <mergeCell ref="I68:I69"/>
    <mergeCell ref="H68:H69"/>
    <mergeCell ref="O65:P65"/>
    <mergeCell ref="F68:G69"/>
    <mergeCell ref="H30:H31"/>
    <mergeCell ref="I30:I31"/>
    <mergeCell ref="H32:H33"/>
    <mergeCell ref="I32:I33"/>
    <mergeCell ref="L120:L121"/>
    <mergeCell ref="Q6:R6"/>
    <mergeCell ref="S6:T6"/>
    <mergeCell ref="O54:P54"/>
    <mergeCell ref="O17:O20"/>
    <mergeCell ref="R17:R18"/>
    <mergeCell ref="O21:P21"/>
    <mergeCell ref="O51:P51"/>
    <mergeCell ref="K21:L21"/>
    <mergeCell ref="K25:L25"/>
    <mergeCell ref="O33:P33"/>
    <mergeCell ref="O37:P37"/>
    <mergeCell ref="L90:L91"/>
    <mergeCell ref="L92:L93"/>
    <mergeCell ref="L110:L111"/>
    <mergeCell ref="L112:L113"/>
    <mergeCell ref="K109:L109"/>
    <mergeCell ref="L102:L103"/>
    <mergeCell ref="K104:L104"/>
    <mergeCell ref="F104:G104"/>
    <mergeCell ref="L94:L95"/>
    <mergeCell ref="L96:L97"/>
    <mergeCell ref="L98:L99"/>
    <mergeCell ref="L100:L101"/>
    <mergeCell ref="L122:L123"/>
    <mergeCell ref="K124:L124"/>
    <mergeCell ref="B110:B120"/>
    <mergeCell ref="C110:C116"/>
    <mergeCell ref="C121:C127"/>
    <mergeCell ref="B121:B131"/>
    <mergeCell ref="B134:I135"/>
    <mergeCell ref="K89:L89"/>
    <mergeCell ref="F80:G80"/>
    <mergeCell ref="D123:D127"/>
    <mergeCell ref="B83:D83"/>
    <mergeCell ref="B86:D86"/>
    <mergeCell ref="B80:D80"/>
    <mergeCell ref="L114:L115"/>
    <mergeCell ref="D112:D116"/>
    <mergeCell ref="F116:G116"/>
    <mergeCell ref="F117:G117"/>
    <mergeCell ref="L116:L117"/>
    <mergeCell ref="F115:G115"/>
    <mergeCell ref="L118:L119"/>
    <mergeCell ref="B90:B97"/>
    <mergeCell ref="B98:B105"/>
    <mergeCell ref="C90:C96"/>
    <mergeCell ref="C98:C104"/>
  </mergeCells>
  <phoneticPr fontId="1"/>
  <pageMargins left="0.70866141732283472" right="0.70866141732283472" top="0.74803149606299213" bottom="0.74803149606299213" header="0.31496062992125984" footer="0.31496062992125984"/>
  <pageSetup paperSize="9" scale="3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試算シート</vt:lpstr>
      <vt:lpstr>試算シート!Print_Area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芹沢 佳代</cp:lastModifiedBy>
  <cp:lastPrinted>2020-09-27T06:11:44Z</cp:lastPrinted>
  <dcterms:created xsi:type="dcterms:W3CDTF">2019-06-12T01:14:22Z</dcterms:created>
  <dcterms:modified xsi:type="dcterms:W3CDTF">2022-04-27T07:26:01Z</dcterms:modified>
</cp:coreProperties>
</file>