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146" yWindow="270" windowWidth="7695" windowHeight="6960" tabRatio="787" firstSheet="5" activeTab="5"/>
  </bookViews>
  <sheets>
    <sheet name="2-1-2 輸送機関別国内旅客輸送量" sheetId="1" state="hidden" r:id="rId1"/>
    <sheet name="2-1-3 旅客輸送機関分担率推移" sheetId="2" state="hidden" r:id="rId2"/>
    <sheet name="2-1-4 乗合輸送量及平均輸送距離" sheetId="3" state="hidden" r:id="rId3"/>
    <sheet name="2-1-4 貸切輸送量及平均輸送距離" sheetId="4" state="hidden" r:id="rId4"/>
    <sheet name="ハイタク人ｷﾛ　実働　実車" sheetId="5" state="hidden" r:id="rId5"/>
    <sheet name="Sheet1" sheetId="6" r:id="rId6"/>
    <sheet name="2-1-6 自家車人ｷﾛ　保有数　実働" sheetId="7" state="hidden" r:id="rId7"/>
    <sheet name="航空人ｷﾛ　輸送量　伸び率" sheetId="8" state="hidden" r:id="rId8"/>
    <sheet name="2-1-7　航空（改）" sheetId="9" state="hidden" r:id="rId9"/>
  </sheets>
  <definedNames>
    <definedName name="_xlnm.Print_Area" localSheetId="0">'2-1-2 輸送機関別国内旅客輸送量'!$B$1:$L$32</definedName>
    <definedName name="_xlnm.Print_Area" localSheetId="1">'2-1-3 旅客輸送機関分担率推移'!$A$11:$H$44</definedName>
    <definedName name="_xlnm.Print_Area" localSheetId="2">'2-1-4 乗合輸送量及平均輸送距離'!$A$31:$J$64</definedName>
    <definedName name="_xlnm.Print_Area" localSheetId="3">'2-1-4 貸切輸送量及平均輸送距離'!$A$31:$J$64</definedName>
    <definedName name="_xlnm.Print_Area" localSheetId="6">'2-1-6 自家車人ｷﾛ　保有数　実働'!$H$11:$O$30</definedName>
    <definedName name="_xlnm.Print_Area" localSheetId="8">'2-1-7　航空（改）'!$C$10:$L$28</definedName>
    <definedName name="_xlnm.Print_Area" localSheetId="5">'Sheet1'!$A$1:$D$47</definedName>
    <definedName name="_xlnm.Print_Area" localSheetId="4">'ハイタク人ｷﾛ　実働　実車'!$A$38:$H$67</definedName>
    <definedName name="_xlnm.Print_Area" localSheetId="7">'航空人ｷﾛ　輸送量　伸び率'!$A$27:$I$47</definedName>
  </definedNames>
  <calcPr fullCalcOnLoad="1"/>
</workbook>
</file>

<file path=xl/sharedStrings.xml><?xml version="1.0" encoding="utf-8"?>
<sst xmlns="http://schemas.openxmlformats.org/spreadsheetml/2006/main" count="803" uniqueCount="224">
  <si>
    <t>対前年度伸び率</t>
  </si>
  <si>
    <t>７年度</t>
  </si>
  <si>
    <t>８年度</t>
  </si>
  <si>
    <t>９年度</t>
  </si>
  <si>
    <t>輸送人員（億人）</t>
  </si>
  <si>
    <t>輸送人キロ（億人キロ）</t>
  </si>
  <si>
    <t>平均輸送距離</t>
  </si>
  <si>
    <t>旅客輸送機関分担率</t>
  </si>
  <si>
    <t>（キロ）</t>
  </si>
  <si>
    <t>（人キロ）</t>
  </si>
  <si>
    <t>10年度</t>
  </si>
  <si>
    <t>11年度</t>
  </si>
  <si>
    <t>総輸送量</t>
  </si>
  <si>
    <t>　鉄道</t>
  </si>
  <si>
    <t>　　ＪＲ</t>
  </si>
  <si>
    <t>　　　定期</t>
  </si>
  <si>
    <t>　　　定期外</t>
  </si>
  <si>
    <t>　　民鉄</t>
  </si>
  <si>
    <t>　自動車</t>
  </si>
  <si>
    <t>　　バス</t>
  </si>
  <si>
    <t>　　　営業用</t>
  </si>
  <si>
    <t>　　　　うち乗合</t>
  </si>
  <si>
    <t>　　　　うち貸切</t>
  </si>
  <si>
    <t>　　　自家用</t>
  </si>
  <si>
    <t>　　乗用車</t>
  </si>
  <si>
    <t>　　軽自動車</t>
  </si>
  <si>
    <t>　　貨物自動車</t>
  </si>
  <si>
    <t>　航空</t>
  </si>
  <si>
    <t>　旅客船</t>
  </si>
  <si>
    <t xml:space="preserve">      (2)　航空及び旅客船の輸送量は、定期及び不定期である。</t>
  </si>
  <si>
    <t>軽自動車等</t>
  </si>
  <si>
    <t xml:space="preserve">      (3)　軽自動車、貨物自動車による輸送量は、自家用のそれらの自動車による人員輸送を表して</t>
  </si>
  <si>
    <t>営業用計</t>
  </si>
  <si>
    <t xml:space="preserve">        いる。</t>
  </si>
  <si>
    <t>自家用計</t>
  </si>
  <si>
    <t xml:space="preserve">      (4)　乗用車及び貨物自動車の輸送量には、軽自動車によるものは含まない。</t>
  </si>
  <si>
    <t xml:space="preserve">      (5)　端数処理を行っているため、内訳の合計と輸送機関計が一致しない場合がある。 </t>
  </si>
  <si>
    <t>自家用自動車（バス、乗用車、軽、貨物）</t>
  </si>
  <si>
    <t>人員</t>
  </si>
  <si>
    <t>人キロ</t>
  </si>
  <si>
    <t>平距10年</t>
  </si>
  <si>
    <t>2-1-3図　国内旅客輸送機関分担率の推移（人キロ）</t>
  </si>
  <si>
    <t>ＪＲ</t>
  </si>
  <si>
    <t>民鉄</t>
  </si>
  <si>
    <t>営業用バス</t>
  </si>
  <si>
    <t>営業用自動車</t>
  </si>
  <si>
    <t>航空</t>
  </si>
  <si>
    <t>旅客船</t>
  </si>
  <si>
    <t>自家用バス</t>
  </si>
  <si>
    <t>自家用自動車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</si>
  <si>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</si>
  <si>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</si>
  <si>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</si>
  <si>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</si>
  <si>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</si>
  <si>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</si>
  <si>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</si>
  <si>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</si>
  <si>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</si>
  <si>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</si>
  <si>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</si>
  <si>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</si>
  <si>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分担率</t>
  </si>
  <si>
    <t>推計前年比</t>
  </si>
  <si>
    <t>（営業用自動車の推計前年伸び率）</t>
  </si>
  <si>
    <t>（自家用自動車の推計前年伸び率）</t>
  </si>
  <si>
    <t>貨物自動車</t>
  </si>
  <si>
    <t>９年８月～10年１月の伸び率平均</t>
  </si>
  <si>
    <t>累計</t>
  </si>
  <si>
    <t>５年度</t>
  </si>
  <si>
    <t>６年度</t>
  </si>
  <si>
    <t>３年度</t>
  </si>
  <si>
    <t>４年度</t>
  </si>
  <si>
    <t>総計</t>
  </si>
  <si>
    <t>定期</t>
  </si>
  <si>
    <t>定期外</t>
  </si>
  <si>
    <t>前年度比</t>
  </si>
  <si>
    <t>2-1-4 乗合バスの輸送量と平均輸送距離</t>
  </si>
  <si>
    <t>高速バス輸送人員、実車キロ、走行キロ積み上げ</t>
  </si>
  <si>
    <t>実車キロ（キロ）</t>
  </si>
  <si>
    <t>走行キロ（キロ）</t>
  </si>
  <si>
    <t>実車率</t>
  </si>
  <si>
    <t>輸送人員（人）</t>
  </si>
  <si>
    <t>月末現在系統数（本）</t>
  </si>
  <si>
    <t>月末現在配置車両数（両）</t>
  </si>
  <si>
    <t>旅客運送収入（円）</t>
  </si>
  <si>
    <t>輸送人員</t>
  </si>
  <si>
    <t>輸送人キロ</t>
  </si>
  <si>
    <t>対前年度比</t>
  </si>
  <si>
    <t>対前年比</t>
  </si>
  <si>
    <t>（グラフ作成用シート）</t>
  </si>
  <si>
    <t>乗合バス輸送人員積み上げ（定期・定期外別）（千人）</t>
  </si>
  <si>
    <t>合計</t>
  </si>
  <si>
    <t>2-1-6 ハイヤー・タクシーの輸送人キロの伸びと実働率及び実車率の推移</t>
  </si>
  <si>
    <t>輸送人キロの伸び</t>
  </si>
  <si>
    <t>実働率</t>
  </si>
  <si>
    <t>実車キロ</t>
  </si>
  <si>
    <t xml:space="preserve">    合      計</t>
  </si>
  <si>
    <t xml:space="preserve">   乗 合 バ ス</t>
  </si>
  <si>
    <t xml:space="preserve">   貸 切 バ ス</t>
  </si>
  <si>
    <t xml:space="preserve">   自 家 バ ス</t>
  </si>
  <si>
    <t xml:space="preserve">    営業乗用車</t>
  </si>
  <si>
    <t xml:space="preserve">    自家乗用車</t>
  </si>
  <si>
    <t xml:space="preserve">       軽 自 動 車</t>
  </si>
  <si>
    <t xml:space="preserve">    自家貨物車</t>
  </si>
  <si>
    <t xml:space="preserve">   営業乗用車</t>
  </si>
  <si>
    <t>自家用</t>
  </si>
  <si>
    <t>営業用乗用車</t>
  </si>
  <si>
    <t>人    員</t>
  </si>
  <si>
    <t>前年比</t>
  </si>
  <si>
    <t>人   員</t>
  </si>
  <si>
    <t>人  員</t>
  </si>
  <si>
    <t>乗用前年比</t>
  </si>
  <si>
    <t>貨物前年比</t>
  </si>
  <si>
    <t>実働延日車</t>
  </si>
  <si>
    <t>実在延日車</t>
  </si>
  <si>
    <t>走行キロ</t>
  </si>
  <si>
    <t>（グラフ作成用）</t>
  </si>
  <si>
    <t>累  計</t>
  </si>
  <si>
    <t>11年推計値</t>
  </si>
  <si>
    <t>乗用比</t>
  </si>
  <si>
    <t>貨物比</t>
  </si>
  <si>
    <t>年度計</t>
  </si>
  <si>
    <t>2-1-6 自家用乗用車の輸送人キロ及び保有車両数の伸びと実働数の推移</t>
  </si>
  <si>
    <t>保有車両数</t>
  </si>
  <si>
    <t>自家用乗用車</t>
  </si>
  <si>
    <t>軽自動車</t>
  </si>
  <si>
    <t>人員伸び率</t>
  </si>
  <si>
    <t>人キロ伸び率</t>
  </si>
  <si>
    <t>　　予想として帰省客は減少しており、自動車の利用人員は減少している。</t>
  </si>
  <si>
    <t>　　しかし、景気低迷の影響を受けて交通費縮減傾向が強まり、</t>
  </si>
  <si>
    <t>　　鉄道や飛行機の利用を手控えて、自家用車を利用する機会が増えたものと思われる。</t>
  </si>
  <si>
    <t>新車販売台数について</t>
  </si>
  <si>
    <t>乗用車</t>
  </si>
  <si>
    <t>貨物車</t>
  </si>
  <si>
    <t>バス</t>
  </si>
  <si>
    <t>小計</t>
  </si>
  <si>
    <t>普通</t>
  </si>
  <si>
    <t>小型</t>
  </si>
  <si>
    <t>自家用乗用車の燃料消費量</t>
  </si>
  <si>
    <t>ガソリン</t>
  </si>
  <si>
    <t>軽油</t>
  </si>
  <si>
    <t>ＲＶ系新車販売状況（シェアの拡大状況）</t>
  </si>
  <si>
    <t>シェアは前年同月増減率</t>
  </si>
  <si>
    <t>新車販売台数</t>
  </si>
  <si>
    <t>ＲＶ系新車販売台数</t>
  </si>
  <si>
    <t>ＲＶ系のシェア</t>
  </si>
  <si>
    <t>データソースは自動車登録統計情報（新車編）</t>
  </si>
  <si>
    <t>自動車免許取得人数の推移</t>
  </si>
  <si>
    <t>自動車免許取得人数</t>
  </si>
  <si>
    <t>対前年増減率</t>
  </si>
  <si>
    <t>７年</t>
  </si>
  <si>
    <t>８年</t>
  </si>
  <si>
    <t>９年</t>
  </si>
  <si>
    <t>データソースは民力</t>
  </si>
  <si>
    <t>2-1-8 国内航空旅客輸送人キロと輸送力の伸び率</t>
  </si>
  <si>
    <t>１０年度白書データ予測値</t>
  </si>
  <si>
    <t>平成９年度 航空輸送人員（人）</t>
  </si>
  <si>
    <t>平成８年度 航空輸送人員（人）</t>
  </si>
  <si>
    <t>幹線輸送人キロ</t>
  </si>
  <si>
    <t>ローカル線輸送人キロ</t>
  </si>
  <si>
    <t>幹線輸送力</t>
  </si>
  <si>
    <t>ﾛｰｶﾙ線輸送力</t>
  </si>
  <si>
    <t>輸送力</t>
  </si>
  <si>
    <t>LFは座席利用率</t>
  </si>
  <si>
    <t>航空人キロ（千人キロ）</t>
  </si>
  <si>
    <t>航空座席キロ（千人キロ）</t>
  </si>
  <si>
    <t>航空ＬＦ（％・ポイント）</t>
  </si>
  <si>
    <t>合      計</t>
  </si>
  <si>
    <t>幹      線</t>
  </si>
  <si>
    <t>ローカル線</t>
  </si>
  <si>
    <t>計</t>
  </si>
  <si>
    <t>幹線</t>
  </si>
  <si>
    <t>８年度計</t>
  </si>
  <si>
    <t>９年度計</t>
  </si>
  <si>
    <t>率（％）</t>
  </si>
  <si>
    <t>対前年度</t>
  </si>
  <si>
    <t>7年度計</t>
  </si>
  <si>
    <t>座席キロ</t>
  </si>
  <si>
    <t>12年度</t>
  </si>
  <si>
    <t>注   (1)　国土交通省資料により作成　</t>
  </si>
  <si>
    <t>11／10</t>
  </si>
  <si>
    <t>12／11</t>
  </si>
  <si>
    <t>11年度</t>
  </si>
  <si>
    <t>12年度</t>
  </si>
  <si>
    <t>11年度人員積上げ</t>
  </si>
  <si>
    <t>12年度推計値</t>
  </si>
  <si>
    <t>12年度人員積上げ</t>
  </si>
  <si>
    <t>Ｈ11年度累計</t>
  </si>
  <si>
    <t>11年度年報値</t>
  </si>
  <si>
    <t>Ｈ12年度累計</t>
  </si>
  <si>
    <t>12年度人キロ積上げ</t>
  </si>
  <si>
    <t>10年度</t>
  </si>
  <si>
    <t>推計値又は暫定値を含んでいるか（YES or NO)</t>
  </si>
  <si>
    <t>12年度計</t>
  </si>
  <si>
    <t>平成11年度　自動車輸送月別データ</t>
  </si>
  <si>
    <t>平成12年度　自動車輸送月別データ</t>
  </si>
  <si>
    <t>平成10年度　自動車輸送月別データ</t>
  </si>
  <si>
    <t>12年度</t>
  </si>
  <si>
    <t>12年度計</t>
  </si>
  <si>
    <t>12年度推計値</t>
  </si>
  <si>
    <t>2-1-4 貸切バスの輸送量と平均輸送距離</t>
  </si>
  <si>
    <t>平成12年度貸切バス輸送量積上げ</t>
  </si>
  <si>
    <t>平成12年度乗合バス輸送量積上げ</t>
  </si>
  <si>
    <t>DummyData1</t>
  </si>
  <si>
    <t>DummyData2</t>
  </si>
  <si>
    <t>NO</t>
  </si>
  <si>
    <t>輸送機関別国内旅客輸送量</t>
  </si>
  <si>
    <t>６</t>
  </si>
  <si>
    <t>７</t>
  </si>
  <si>
    <t>８</t>
  </si>
  <si>
    <t>９</t>
  </si>
  <si>
    <t>10</t>
  </si>
  <si>
    <t>11</t>
  </si>
  <si>
    <t>12</t>
  </si>
  <si>
    <t>13</t>
  </si>
  <si>
    <t>（年度）</t>
  </si>
  <si>
    <t>図表Ⅱ－６－６－４　トラック輸送の動向</t>
  </si>
  <si>
    <t>平成５</t>
  </si>
  <si>
    <t>14</t>
  </si>
  <si>
    <t>営業用貨物自動車の輸送量
（10億トンキロ）</t>
  </si>
  <si>
    <t>自家用貨物自動車の輸送量
（10億トンキロ）</t>
  </si>
  <si>
    <t>貨物自動車運送事業
（貨物軽自動車運送事業を除く）
の営業収入の推移（億円）</t>
  </si>
  <si>
    <t>資料)　国土交通省「自動車輸送統計年報」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</si>
</sst>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;[Red]\-#,##0.0\ "/>
    <numFmt numFmtId="179" formatCode="#,##0.00_ ;[Red]\-#,##0.00\ "/>
    <numFmt numFmtId="180" formatCode="0.0_);[Red]\(0.0\)"/>
    <numFmt numFmtId="181" formatCode="#,##0_ ;[Red]\-#,##0\ "/>
    <numFmt numFmtId="182" formatCode="0.00_ "/>
    <numFmt numFmtId="183" formatCode="0.000_ "/>
    <numFmt numFmtId="184" formatCode="#,##0_ "/>
    <numFmt numFmtId="185" formatCode="0.0"/>
    <numFmt numFmtId="186" formatCode="#,##0.000_ ;[Red]\-#,##0.000\ "/>
    <numFmt numFmtId="187" formatCode="#,##0.0000_ ;[Red]\-#,##0.0000\ "/>
    <numFmt numFmtId="188" formatCode="#,##0.00000_ ;[Red]\-#,##0.00000\ "/>
    <numFmt numFmtId="189" formatCode="#,##0.000000_ ;[Red]\-#,##0.000000\ "/>
    <numFmt numFmtId="190" formatCode="0.0000"/>
    <numFmt numFmtId="191" formatCode="0.000"/>
    <numFmt numFmtId="192" formatCode="0.00000"/>
    <numFmt numFmtId="193" formatCode="0.000000"/>
    <numFmt numFmtId="194" formatCode="0.00000000"/>
    <numFmt numFmtId="195" formatCode="0.0000000"/>
    <numFmt numFmtId="196" formatCode="0.0000_ "/>
    <numFmt numFmtId="197" formatCode="0.00000_ "/>
    <numFmt numFmtId="198" formatCode="0.000000_ "/>
    <numFmt numFmtId="199" formatCode="0.0000000000"/>
    <numFmt numFmtId="200" formatCode="0.000000000"/>
    <numFmt numFmtId="201" formatCode="#,##0.0;[Red]\-#,##0.0"/>
    <numFmt numFmtId="202" formatCode="#,##0.000;[Red]\-#,##0.000"/>
    <numFmt numFmtId="203" formatCode="#,##0.0000;[Red]\-#,##0.0000"/>
    <numFmt numFmtId="204" formatCode="0;[Red]0"/>
    <numFmt numFmtId="205" formatCode="0.0;[Red]0.0"/>
    <numFmt numFmtId="206" formatCode="0.00;[Red]0.00"/>
    <numFmt numFmtId="207" formatCode="#,##0.0_ "/>
    <numFmt numFmtId="208" formatCode="0.0000000_ "/>
    <numFmt numFmtId="209" formatCode="0.00000000_ "/>
    <numFmt numFmtId="210" formatCode="#,##0.0;\-#,##0.0"/>
    <numFmt numFmtId="211" formatCode="#,##0.0000_ "/>
    <numFmt numFmtId="212" formatCode="#,##0.00_ "/>
    <numFmt numFmtId="213" formatCode="#,##0_);[Red]\(#,##0\)"/>
    <numFmt numFmtId="214" formatCode="#,##0.00_);[Red]\(#,##0.00\)"/>
    <numFmt numFmtId="215" formatCode="#,##0.0_);[Red]\(#,##0.0\)"/>
    <numFmt numFmtId="216" formatCode="#,##0.0000_);[Red]\(#,##0.0000\)"/>
    <numFmt numFmtId="217" formatCode="#,##0.00000000_ ;[Red]\-#,##0.00000000\ "/>
    <numFmt numFmtId="218" formatCode="#,##0.0000000000_ ;[Red]\-#,##0.0000000000\ "/>
    <numFmt numFmtId="219" formatCode="#,##0.00000000_ "/>
    <numFmt numFmtId="220" formatCode="0.00_ ;[Red]\-0.00\ "/>
    <numFmt numFmtId="221" formatCode="0.0_ ;[Red]\-0.0\ "/>
    <numFmt numFmtId="222" formatCode="0.000_ ;[Red]\-0.000\ "/>
    <numFmt numFmtId="223" formatCode="#,##0.000_ "/>
    <numFmt numFmtId="224" formatCode="#,##0.00000_ "/>
    <numFmt numFmtId="225" formatCode="#,##0.000000_ "/>
    <numFmt numFmtId="226" formatCode="#,##0.0000000_ "/>
    <numFmt numFmtId="227" formatCode="0.0000_ ;[Red]\-0.0000\ "/>
    <numFmt numFmtId="228" formatCode="0.00000_ ;[Red]\-0.00000\ "/>
    <numFmt numFmtId="229" formatCode="0.000000_ ;[Red]\-0.000000\ "/>
    <numFmt numFmtId="230" formatCode="0.0000000_ ;[Red]\-0.0000000\ "/>
    <numFmt numFmtId="231" formatCode="0.00000000_ ;[Red]\-0.00000000\ "/>
    <numFmt numFmtId="232" formatCode="0.000000000_ ;[Red]\-0.000000000\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8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 horizontal="left"/>
    </xf>
    <xf numFmtId="183" fontId="0" fillId="0" borderId="2" xfId="0" applyNumberFormat="1" applyBorder="1" applyAlignment="1">
      <alignment/>
    </xf>
    <xf numFmtId="0" fontId="0" fillId="0" borderId="17" xfId="0" applyBorder="1" applyAlignment="1">
      <alignment/>
    </xf>
    <xf numFmtId="183" fontId="0" fillId="0" borderId="17" xfId="0" applyNumberFormat="1" applyBorder="1" applyAlignment="1">
      <alignment/>
    </xf>
    <xf numFmtId="183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38" fontId="0" fillId="0" borderId="0" xfId="17" applyAlignment="1">
      <alignment/>
    </xf>
    <xf numFmtId="0" fontId="4" fillId="0" borderId="4" xfId="0" applyFont="1" applyBorder="1" applyAlignment="1" quotePrefix="1">
      <alignment horizontal="left"/>
    </xf>
    <xf numFmtId="0" fontId="9" fillId="0" borderId="2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 horizontal="left"/>
    </xf>
    <xf numFmtId="38" fontId="4" fillId="0" borderId="0" xfId="0" applyNumberFormat="1" applyFont="1" applyAlignment="1">
      <alignment/>
    </xf>
    <xf numFmtId="181" fontId="4" fillId="0" borderId="8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4" fillId="0" borderId="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2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81" fontId="4" fillId="0" borderId="9" xfId="17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25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5" xfId="0" applyFont="1" applyFill="1" applyBorder="1" applyAlignment="1" quotePrefix="1">
      <alignment horizontal="center"/>
    </xf>
    <xf numFmtId="178" fontId="5" fillId="0" borderId="8" xfId="17" applyNumberFormat="1" applyFont="1" applyFill="1" applyBorder="1" applyAlignment="1">
      <alignment horizontal="right"/>
    </xf>
    <xf numFmtId="178" fontId="5" fillId="0" borderId="1" xfId="17" applyNumberFormat="1" applyFont="1" applyFill="1" applyBorder="1" applyAlignment="1">
      <alignment horizontal="right"/>
    </xf>
    <xf numFmtId="178" fontId="5" fillId="0" borderId="0" xfId="17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79" fontId="5" fillId="0" borderId="8" xfId="17" applyNumberFormat="1" applyFont="1" applyFill="1" applyBorder="1" applyAlignment="1">
      <alignment horizontal="right"/>
    </xf>
    <xf numFmtId="178" fontId="5" fillId="0" borderId="2" xfId="17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 horizontal="left"/>
    </xf>
    <xf numFmtId="180" fontId="5" fillId="0" borderId="24" xfId="0" applyNumberFormat="1" applyFont="1" applyFill="1" applyBorder="1" applyAlignment="1">
      <alignment/>
    </xf>
    <xf numFmtId="180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180" fontId="5" fillId="0" borderId="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 quotePrefix="1">
      <alignment horizontal="left"/>
    </xf>
    <xf numFmtId="0" fontId="5" fillId="0" borderId="5" xfId="0" applyFont="1" applyFill="1" applyBorder="1" applyAlignment="1" quotePrefix="1">
      <alignment horizontal="left"/>
    </xf>
    <xf numFmtId="176" fontId="5" fillId="0" borderId="3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/>
    </xf>
    <xf numFmtId="179" fontId="5" fillId="0" borderId="9" xfId="17" applyNumberFormat="1" applyFont="1" applyFill="1" applyBorder="1" applyAlignment="1">
      <alignment horizontal="right"/>
    </xf>
    <xf numFmtId="38" fontId="4" fillId="0" borderId="26" xfId="17" applyFont="1" applyFill="1" applyBorder="1" applyAlignment="1">
      <alignment/>
    </xf>
    <xf numFmtId="38" fontId="4" fillId="0" borderId="0" xfId="17" applyFont="1" applyAlignment="1">
      <alignment/>
    </xf>
    <xf numFmtId="178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49" fontId="5" fillId="0" borderId="9" xfId="0" applyNumberFormat="1" applyFont="1" applyFill="1" applyBorder="1" applyAlignment="1" quotePrefix="1">
      <alignment horizontal="center"/>
    </xf>
    <xf numFmtId="0" fontId="5" fillId="0" borderId="2" xfId="0" applyFont="1" applyFill="1" applyBorder="1" applyAlignment="1" quotePrefix="1">
      <alignment horizontal="center"/>
    </xf>
    <xf numFmtId="38" fontId="4" fillId="0" borderId="3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1" xfId="17" applyFont="1" applyFill="1" applyBorder="1" applyAlignment="1">
      <alignment/>
    </xf>
    <xf numFmtId="38" fontId="4" fillId="0" borderId="16" xfId="17" applyFont="1" applyFill="1" applyBorder="1" applyAlignment="1">
      <alignment/>
    </xf>
    <xf numFmtId="38" fontId="4" fillId="2" borderId="0" xfId="17" applyFont="1" applyFill="1" applyAlignment="1">
      <alignment/>
    </xf>
    <xf numFmtId="0" fontId="5" fillId="0" borderId="6" xfId="0" applyFont="1" applyFill="1" applyBorder="1" applyAlignment="1" quotePrefix="1">
      <alignment horizontal="left"/>
    </xf>
    <xf numFmtId="2" fontId="4" fillId="2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38" fontId="4" fillId="0" borderId="21" xfId="17" applyFont="1" applyFill="1" applyBorder="1" applyAlignment="1">
      <alignment/>
    </xf>
    <xf numFmtId="38" fontId="4" fillId="0" borderId="20" xfId="17" applyFont="1" applyFill="1" applyBorder="1" applyAlignment="1">
      <alignment/>
    </xf>
    <xf numFmtId="38" fontId="4" fillId="0" borderId="27" xfId="17" applyFont="1" applyFill="1" applyBorder="1" applyAlignment="1">
      <alignment/>
    </xf>
    <xf numFmtId="38" fontId="4" fillId="0" borderId="22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38" fontId="4" fillId="0" borderId="17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38" fontId="4" fillId="0" borderId="16" xfId="17" applyNumberFormat="1" applyFont="1" applyFill="1" applyBorder="1" applyAlignment="1">
      <alignment/>
    </xf>
    <xf numFmtId="205" fontId="4" fillId="0" borderId="0" xfId="0" applyNumberFormat="1" applyFont="1" applyAlignment="1">
      <alignment/>
    </xf>
    <xf numFmtId="0" fontId="0" fillId="0" borderId="7" xfId="0" applyBorder="1" applyAlignment="1" quotePrefix="1">
      <alignment horizontal="left"/>
    </xf>
    <xf numFmtId="176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/>
    </xf>
    <xf numFmtId="185" fontId="0" fillId="0" borderId="0" xfId="0" applyNumberFormat="1" applyFill="1" applyAlignment="1">
      <alignment/>
    </xf>
    <xf numFmtId="0" fontId="4" fillId="0" borderId="28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2" fontId="4" fillId="3" borderId="0" xfId="0" applyNumberFormat="1" applyFont="1" applyFill="1" applyAlignment="1">
      <alignment/>
    </xf>
    <xf numFmtId="185" fontId="4" fillId="3" borderId="0" xfId="0" applyNumberFormat="1" applyFont="1" applyFill="1" applyAlignment="1">
      <alignment/>
    </xf>
    <xf numFmtId="205" fontId="4" fillId="3" borderId="0" xfId="0" applyNumberFormat="1" applyFont="1" applyFill="1" applyAlignment="1">
      <alignment/>
    </xf>
    <xf numFmtId="0" fontId="4" fillId="3" borderId="0" xfId="0" applyFont="1" applyFill="1" applyBorder="1" applyAlignment="1">
      <alignment/>
    </xf>
    <xf numFmtId="181" fontId="4" fillId="3" borderId="0" xfId="17" applyNumberFormat="1" applyFont="1" applyFill="1" applyBorder="1" applyAlignment="1">
      <alignment/>
    </xf>
    <xf numFmtId="179" fontId="4" fillId="3" borderId="0" xfId="17" applyNumberFormat="1" applyFont="1" applyFill="1" applyBorder="1" applyAlignment="1">
      <alignment/>
    </xf>
    <xf numFmtId="0" fontId="4" fillId="3" borderId="0" xfId="0" applyFont="1" applyFill="1" applyAlignment="1" quotePrefix="1">
      <alignment horizontal="left"/>
    </xf>
    <xf numFmtId="38" fontId="4" fillId="3" borderId="0" xfId="17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2" fontId="4" fillId="3" borderId="0" xfId="0" applyNumberFormat="1" applyFont="1" applyFill="1" applyBorder="1" applyAlignment="1">
      <alignment/>
    </xf>
    <xf numFmtId="38" fontId="0" fillId="3" borderId="0" xfId="17" applyFill="1" applyAlignment="1">
      <alignment/>
    </xf>
    <xf numFmtId="182" fontId="4" fillId="0" borderId="29" xfId="0" applyNumberFormat="1" applyFont="1" applyFill="1" applyBorder="1" applyAlignment="1">
      <alignment/>
    </xf>
    <xf numFmtId="38" fontId="0" fillId="0" borderId="30" xfId="17" applyFont="1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211" fontId="4" fillId="0" borderId="0" xfId="0" applyNumberFormat="1" applyFont="1" applyAlignment="1">
      <alignment/>
    </xf>
    <xf numFmtId="0" fontId="4" fillId="0" borderId="16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32" xfId="0" applyFont="1" applyFill="1" applyBorder="1" applyAlignment="1">
      <alignment/>
    </xf>
    <xf numFmtId="182" fontId="4" fillId="3" borderId="29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82" fontId="4" fillId="3" borderId="34" xfId="0" applyNumberFormat="1" applyFont="1" applyFill="1" applyBorder="1" applyAlignment="1">
      <alignment/>
    </xf>
    <xf numFmtId="182" fontId="4" fillId="0" borderId="34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182" fontId="4" fillId="3" borderId="35" xfId="0" applyNumberFormat="1" applyFont="1" applyFill="1" applyBorder="1" applyAlignment="1">
      <alignment/>
    </xf>
    <xf numFmtId="182" fontId="4" fillId="0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 quotePrefix="1">
      <alignment horizontal="left"/>
    </xf>
    <xf numFmtId="0" fontId="4" fillId="0" borderId="38" xfId="0" applyFont="1" applyFill="1" applyBorder="1" applyAlignment="1">
      <alignment/>
    </xf>
    <xf numFmtId="0" fontId="4" fillId="0" borderId="36" xfId="0" applyFont="1" applyFill="1" applyBorder="1" applyAlignment="1" quotePrefix="1">
      <alignment horizontal="left"/>
    </xf>
    <xf numFmtId="0" fontId="4" fillId="0" borderId="11" xfId="0" applyFont="1" applyFill="1" applyBorder="1" applyAlignment="1" quotePrefix="1">
      <alignment horizontal="left"/>
    </xf>
    <xf numFmtId="0" fontId="4" fillId="0" borderId="13" xfId="0" applyFont="1" applyFill="1" applyBorder="1" applyAlignment="1" quotePrefix="1">
      <alignment horizontal="left"/>
    </xf>
    <xf numFmtId="0" fontId="4" fillId="0" borderId="39" xfId="0" applyFont="1" applyFill="1" applyBorder="1" applyAlignment="1" quotePrefix="1">
      <alignment horizontal="left"/>
    </xf>
    <xf numFmtId="0" fontId="4" fillId="0" borderId="40" xfId="0" applyFont="1" applyFill="1" applyBorder="1" applyAlignment="1">
      <alignment/>
    </xf>
    <xf numFmtId="182" fontId="4" fillId="0" borderId="41" xfId="0" applyNumberFormat="1" applyFont="1" applyFill="1" applyBorder="1" applyAlignment="1">
      <alignment/>
    </xf>
    <xf numFmtId="182" fontId="4" fillId="0" borderId="42" xfId="0" applyNumberFormat="1" applyFont="1" applyFill="1" applyBorder="1" applyAlignment="1">
      <alignment/>
    </xf>
    <xf numFmtId="182" fontId="4" fillId="0" borderId="22" xfId="0" applyNumberFormat="1" applyFont="1" applyFill="1" applyBorder="1" applyAlignment="1">
      <alignment/>
    </xf>
    <xf numFmtId="182" fontId="4" fillId="0" borderId="2" xfId="0" applyNumberFormat="1" applyFont="1" applyFill="1" applyBorder="1" applyAlignment="1">
      <alignment/>
    </xf>
    <xf numFmtId="182" fontId="4" fillId="0" borderId="43" xfId="0" applyNumberFormat="1" applyFont="1" applyFill="1" applyBorder="1" applyAlignment="1">
      <alignment/>
    </xf>
    <xf numFmtId="184" fontId="4" fillId="0" borderId="44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29" xfId="0" applyNumberFormat="1" applyFont="1" applyFill="1" applyBorder="1" applyAlignment="1">
      <alignment/>
    </xf>
    <xf numFmtId="184" fontId="4" fillId="0" borderId="26" xfId="0" applyNumberFormat="1" applyFont="1" applyFill="1" applyBorder="1" applyAlignment="1">
      <alignment/>
    </xf>
    <xf numFmtId="213" fontId="4" fillId="0" borderId="0" xfId="0" applyNumberFormat="1" applyFont="1" applyFill="1" applyBorder="1" applyAlignment="1">
      <alignment/>
    </xf>
    <xf numFmtId="184" fontId="4" fillId="0" borderId="34" xfId="0" applyNumberFormat="1" applyFont="1" applyFill="1" applyBorder="1" applyAlignment="1">
      <alignment/>
    </xf>
    <xf numFmtId="184" fontId="4" fillId="0" borderId="45" xfId="0" applyNumberFormat="1" applyFont="1" applyFill="1" applyBorder="1" applyAlignment="1">
      <alignment/>
    </xf>
    <xf numFmtId="184" fontId="4" fillId="0" borderId="35" xfId="0" applyNumberFormat="1" applyFont="1" applyFill="1" applyBorder="1" applyAlignment="1">
      <alignment/>
    </xf>
    <xf numFmtId="184" fontId="4" fillId="0" borderId="24" xfId="0" applyNumberFormat="1" applyFont="1" applyFill="1" applyBorder="1" applyAlignment="1">
      <alignment/>
    </xf>
    <xf numFmtId="184" fontId="4" fillId="0" borderId="8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27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184" fontId="4" fillId="0" borderId="37" xfId="0" applyNumberFormat="1" applyFont="1" applyFill="1" applyBorder="1" applyAlignment="1">
      <alignment/>
    </xf>
    <xf numFmtId="38" fontId="9" fillId="4" borderId="0" xfId="0" applyNumberFormat="1" applyFont="1" applyFill="1" applyBorder="1" applyAlignment="1">
      <alignment/>
    </xf>
    <xf numFmtId="212" fontId="9" fillId="4" borderId="0" xfId="0" applyNumberFormat="1" applyFont="1" applyFill="1" applyBorder="1" applyAlignment="1">
      <alignment/>
    </xf>
    <xf numFmtId="38" fontId="9" fillId="4" borderId="0" xfId="0" applyNumberFormat="1" applyFont="1" applyFill="1" applyBorder="1" applyAlignment="1">
      <alignment horizontal="left"/>
    </xf>
    <xf numFmtId="212" fontId="4" fillId="4" borderId="0" xfId="0" applyNumberFormat="1" applyFont="1" applyFill="1" applyBorder="1" applyAlignment="1">
      <alignment/>
    </xf>
    <xf numFmtId="38" fontId="4" fillId="4" borderId="0" xfId="17" applyFont="1" applyFill="1" applyBorder="1" applyAlignment="1">
      <alignment/>
    </xf>
    <xf numFmtId="176" fontId="4" fillId="4" borderId="0" xfId="0" applyNumberFormat="1" applyFont="1" applyFill="1" applyBorder="1" applyAlignment="1">
      <alignment/>
    </xf>
    <xf numFmtId="184" fontId="4" fillId="4" borderId="0" xfId="0" applyNumberFormat="1" applyFont="1" applyFill="1" applyBorder="1" applyAlignment="1">
      <alignment/>
    </xf>
    <xf numFmtId="213" fontId="4" fillId="4" borderId="0" xfId="0" applyNumberFormat="1" applyFont="1" applyFill="1" applyBorder="1" applyAlignment="1">
      <alignment/>
    </xf>
    <xf numFmtId="214" fontId="4" fillId="4" borderId="0" xfId="0" applyNumberFormat="1" applyFont="1" applyFill="1" applyBorder="1" applyAlignment="1">
      <alignment/>
    </xf>
    <xf numFmtId="182" fontId="4" fillId="4" borderId="0" xfId="0" applyNumberFormat="1" applyFont="1" applyFill="1" applyBorder="1" applyAlignment="1">
      <alignment/>
    </xf>
    <xf numFmtId="212" fontId="4" fillId="0" borderId="0" xfId="0" applyNumberFormat="1" applyFont="1" applyAlignment="1">
      <alignment/>
    </xf>
    <xf numFmtId="38" fontId="4" fillId="0" borderId="0" xfId="17" applyFont="1" applyBorder="1" applyAlignment="1">
      <alignment/>
    </xf>
    <xf numFmtId="0" fontId="4" fillId="0" borderId="23" xfId="0" applyFont="1" applyBorder="1" applyAlignment="1" quotePrefix="1">
      <alignment horizontal="left"/>
    </xf>
    <xf numFmtId="21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left"/>
    </xf>
    <xf numFmtId="207" fontId="4" fillId="0" borderId="0" xfId="0" applyNumberFormat="1" applyFont="1" applyFill="1" applyAlignment="1">
      <alignment/>
    </xf>
    <xf numFmtId="184" fontId="4" fillId="0" borderId="29" xfId="0" applyNumberFormat="1" applyFont="1" applyBorder="1" applyAlignment="1">
      <alignment/>
    </xf>
    <xf numFmtId="212" fontId="4" fillId="0" borderId="29" xfId="0" applyNumberFormat="1" applyFont="1" applyBorder="1" applyAlignment="1">
      <alignment/>
    </xf>
    <xf numFmtId="212" fontId="4" fillId="0" borderId="41" xfId="0" applyNumberFormat="1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4" fillId="0" borderId="4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4" xfId="0" applyFont="1" applyFill="1" applyBorder="1" applyAlignment="1" quotePrefix="1">
      <alignment horizontal="left"/>
    </xf>
    <xf numFmtId="38" fontId="4" fillId="2" borderId="0" xfId="17" applyFont="1" applyFill="1" applyBorder="1" applyAlignment="1">
      <alignment/>
    </xf>
    <xf numFmtId="0" fontId="0" fillId="0" borderId="47" xfId="0" applyBorder="1" applyAlignment="1">
      <alignment/>
    </xf>
    <xf numFmtId="0" fontId="9" fillId="0" borderId="30" xfId="0" applyFont="1" applyBorder="1" applyAlignment="1">
      <alignment/>
    </xf>
    <xf numFmtId="205" fontId="4" fillId="0" borderId="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0" fontId="4" fillId="0" borderId="48" xfId="0" applyFont="1" applyBorder="1" applyAlignment="1" quotePrefix="1">
      <alignment horizontal="left"/>
    </xf>
    <xf numFmtId="0" fontId="4" fillId="0" borderId="49" xfId="0" applyFont="1" applyBorder="1" applyAlignment="1">
      <alignment/>
    </xf>
    <xf numFmtId="0" fontId="4" fillId="0" borderId="47" xfId="0" applyFont="1" applyBorder="1" applyAlignment="1" quotePrefix="1">
      <alignment horizontal="left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184" fontId="4" fillId="0" borderId="21" xfId="0" applyNumberFormat="1" applyFont="1" applyBorder="1" applyAlignment="1">
      <alignment/>
    </xf>
    <xf numFmtId="184" fontId="4" fillId="0" borderId="45" xfId="0" applyNumberFormat="1" applyFont="1" applyBorder="1" applyAlignment="1">
      <alignment/>
    </xf>
    <xf numFmtId="0" fontId="4" fillId="0" borderId="25" xfId="0" applyFont="1" applyBorder="1" applyAlignment="1">
      <alignment/>
    </xf>
    <xf numFmtId="187" fontId="0" fillId="0" borderId="0" xfId="0" applyNumberFormat="1" applyFill="1" applyAlignment="1">
      <alignment/>
    </xf>
    <xf numFmtId="207" fontId="5" fillId="0" borderId="0" xfId="0" applyNumberFormat="1" applyFont="1" applyFill="1" applyAlignment="1">
      <alignment/>
    </xf>
    <xf numFmtId="178" fontId="5" fillId="0" borderId="0" xfId="17" applyNumberFormat="1" applyFont="1" applyFill="1" applyBorder="1" applyAlignment="1" quotePrefix="1">
      <alignment horizontal="left"/>
    </xf>
    <xf numFmtId="56" fontId="5" fillId="0" borderId="0" xfId="0" applyNumberFormat="1" applyFont="1" applyFill="1" applyAlignment="1">
      <alignment/>
    </xf>
    <xf numFmtId="0" fontId="4" fillId="0" borderId="50" xfId="0" applyFont="1" applyBorder="1" applyAlignment="1" quotePrefix="1">
      <alignment horizontal="left"/>
    </xf>
    <xf numFmtId="212" fontId="4" fillId="0" borderId="14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22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0" fontId="4" fillId="0" borderId="35" xfId="0" applyFont="1" applyBorder="1" applyAlignment="1">
      <alignment/>
    </xf>
    <xf numFmtId="212" fontId="4" fillId="0" borderId="45" xfId="0" applyNumberFormat="1" applyFont="1" applyBorder="1" applyAlignment="1">
      <alignment/>
    </xf>
    <xf numFmtId="212" fontId="4" fillId="0" borderId="25" xfId="0" applyNumberFormat="1" applyFont="1" applyBorder="1" applyAlignment="1">
      <alignment/>
    </xf>
    <xf numFmtId="0" fontId="4" fillId="0" borderId="43" xfId="0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25" xfId="0" applyNumberFormat="1" applyFont="1" applyBorder="1" applyAlignment="1">
      <alignment/>
    </xf>
    <xf numFmtId="212" fontId="4" fillId="0" borderId="51" xfId="0" applyNumberFormat="1" applyFont="1" applyBorder="1" applyAlignment="1">
      <alignment/>
    </xf>
    <xf numFmtId="184" fontId="4" fillId="0" borderId="35" xfId="0" applyNumberFormat="1" applyFont="1" applyBorder="1" applyAlignment="1">
      <alignment/>
    </xf>
    <xf numFmtId="212" fontId="4" fillId="0" borderId="15" xfId="0" applyNumberFormat="1" applyFont="1" applyBorder="1" applyAlignment="1">
      <alignment/>
    </xf>
    <xf numFmtId="212" fontId="4" fillId="0" borderId="35" xfId="0" applyNumberFormat="1" applyFont="1" applyBorder="1" applyAlignment="1">
      <alignment/>
    </xf>
    <xf numFmtId="212" fontId="4" fillId="0" borderId="50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0" fontId="4" fillId="0" borderId="22" xfId="0" applyFont="1" applyBorder="1" applyAlignment="1" quotePrefix="1">
      <alignment horizontal="left"/>
    </xf>
    <xf numFmtId="0" fontId="4" fillId="0" borderId="45" xfId="0" applyFont="1" applyBorder="1" applyAlignment="1">
      <alignment/>
    </xf>
    <xf numFmtId="212" fontId="4" fillId="0" borderId="4" xfId="0" applyNumberFormat="1" applyFont="1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9" xfId="0" applyFont="1" applyBorder="1" applyAlignment="1" quotePrefix="1">
      <alignment horizontal="left"/>
    </xf>
    <xf numFmtId="0" fontId="9" fillId="0" borderId="6" xfId="0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17" applyFont="1" applyFill="1" applyAlignment="1" quotePrefix="1">
      <alignment horizontal="left"/>
    </xf>
    <xf numFmtId="49" fontId="5" fillId="0" borderId="2" xfId="0" applyNumberFormat="1" applyFont="1" applyFill="1" applyBorder="1" applyAlignment="1" quotePrefix="1">
      <alignment horizontal="center"/>
    </xf>
    <xf numFmtId="1" fontId="4" fillId="3" borderId="0" xfId="0" applyNumberFormat="1" applyFont="1" applyFill="1" applyAlignment="1">
      <alignment/>
    </xf>
    <xf numFmtId="0" fontId="4" fillId="4" borderId="0" xfId="0" applyFont="1" applyFill="1" applyBorder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36" xfId="0" applyFont="1" applyBorder="1" applyAlignment="1">
      <alignment/>
    </xf>
    <xf numFmtId="0" fontId="9" fillId="0" borderId="23" xfId="0" applyFont="1" applyFill="1" applyBorder="1" applyAlignment="1">
      <alignment/>
    </xf>
    <xf numFmtId="176" fontId="4" fillId="4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180" fontId="5" fillId="0" borderId="1" xfId="0" applyNumberFormat="1" applyFont="1" applyFill="1" applyBorder="1" applyAlignment="1">
      <alignment/>
    </xf>
    <xf numFmtId="180" fontId="5" fillId="0" borderId="2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202" fontId="4" fillId="0" borderId="0" xfId="17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 quotePrefix="1">
      <alignment horizontal="left"/>
    </xf>
    <xf numFmtId="0" fontId="4" fillId="2" borderId="20" xfId="0" applyFont="1" applyFill="1" applyBorder="1" applyAlignment="1">
      <alignment/>
    </xf>
    <xf numFmtId="38" fontId="0" fillId="2" borderId="1" xfId="17" applyFill="1" applyBorder="1" applyAlignment="1">
      <alignment/>
    </xf>
    <xf numFmtId="0" fontId="0" fillId="2" borderId="3" xfId="0" applyFill="1" applyBorder="1" applyAlignment="1">
      <alignment/>
    </xf>
    <xf numFmtId="38" fontId="0" fillId="2" borderId="0" xfId="17" applyFill="1" applyBorder="1" applyAlignment="1">
      <alignment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 horizontal="left"/>
    </xf>
    <xf numFmtId="179" fontId="4" fillId="2" borderId="1" xfId="0" applyNumberFormat="1" applyFont="1" applyFill="1" applyBorder="1" applyAlignment="1">
      <alignment/>
    </xf>
    <xf numFmtId="184" fontId="4" fillId="2" borderId="0" xfId="0" applyNumberFormat="1" applyFont="1" applyFill="1" applyBorder="1" applyAlignment="1">
      <alignment/>
    </xf>
    <xf numFmtId="179" fontId="4" fillId="2" borderId="8" xfId="0" applyNumberFormat="1" applyFont="1" applyFill="1" applyBorder="1" applyAlignment="1">
      <alignment/>
    </xf>
    <xf numFmtId="184" fontId="4" fillId="2" borderId="29" xfId="0" applyNumberFormat="1" applyFont="1" applyFill="1" applyBorder="1" applyAlignment="1">
      <alignment/>
    </xf>
    <xf numFmtId="179" fontId="4" fillId="2" borderId="22" xfId="0" applyNumberFormat="1" applyFont="1" applyFill="1" applyBorder="1" applyAlignment="1">
      <alignment/>
    </xf>
    <xf numFmtId="184" fontId="4" fillId="2" borderId="21" xfId="0" applyNumberFormat="1" applyFont="1" applyFill="1" applyBorder="1" applyAlignment="1">
      <alignment/>
    </xf>
    <xf numFmtId="179" fontId="4" fillId="2" borderId="19" xfId="0" applyNumberFormat="1" applyFont="1" applyFill="1" applyBorder="1" applyAlignment="1">
      <alignment/>
    </xf>
    <xf numFmtId="184" fontId="4" fillId="2" borderId="45" xfId="0" applyNumberFormat="1" applyFont="1" applyFill="1" applyBorder="1" applyAlignment="1">
      <alignment/>
    </xf>
    <xf numFmtId="179" fontId="4" fillId="2" borderId="2" xfId="0" applyNumberFormat="1" applyFont="1" applyFill="1" applyBorder="1" applyAlignment="1">
      <alignment/>
    </xf>
    <xf numFmtId="184" fontId="4" fillId="2" borderId="16" xfId="0" applyNumberFormat="1" applyFont="1" applyFill="1" applyBorder="1" applyAlignment="1">
      <alignment/>
    </xf>
    <xf numFmtId="179" fontId="4" fillId="2" borderId="9" xfId="0" applyNumberFormat="1" applyFont="1" applyFill="1" applyBorder="1" applyAlignment="1">
      <alignment/>
    </xf>
    <xf numFmtId="184" fontId="4" fillId="2" borderId="46" xfId="0" applyNumberFormat="1" applyFont="1" applyFill="1" applyBorder="1" applyAlignment="1">
      <alignment/>
    </xf>
    <xf numFmtId="184" fontId="4" fillId="2" borderId="1" xfId="0" applyNumberFormat="1" applyFont="1" applyFill="1" applyBorder="1" applyAlignment="1">
      <alignment/>
    </xf>
    <xf numFmtId="184" fontId="4" fillId="2" borderId="14" xfId="0" applyNumberFormat="1" applyFont="1" applyFill="1" applyBorder="1" applyAlignment="1">
      <alignment/>
    </xf>
    <xf numFmtId="184" fontId="4" fillId="2" borderId="12" xfId="0" applyNumberFormat="1" applyFont="1" applyFill="1" applyBorder="1" applyAlignment="1">
      <alignment/>
    </xf>
    <xf numFmtId="179" fontId="4" fillId="2" borderId="13" xfId="0" applyNumberFormat="1" applyFont="1" applyFill="1" applyBorder="1" applyAlignment="1">
      <alignment/>
    </xf>
    <xf numFmtId="184" fontId="4" fillId="2" borderId="22" xfId="0" applyNumberFormat="1" applyFont="1" applyFill="1" applyBorder="1" applyAlignment="1">
      <alignment/>
    </xf>
    <xf numFmtId="184" fontId="4" fillId="2" borderId="25" xfId="0" applyNumberFormat="1" applyFont="1" applyFill="1" applyBorder="1" applyAlignment="1">
      <alignment/>
    </xf>
    <xf numFmtId="184" fontId="4" fillId="2" borderId="2" xfId="0" applyNumberFormat="1" applyFont="1" applyFill="1" applyBorder="1" applyAlignment="1">
      <alignment/>
    </xf>
    <xf numFmtId="184" fontId="4" fillId="2" borderId="15" xfId="0" applyNumberFormat="1" applyFont="1" applyFill="1" applyBorder="1" applyAlignment="1">
      <alignment/>
    </xf>
    <xf numFmtId="212" fontId="4" fillId="2" borderId="46" xfId="0" applyNumberFormat="1" applyFont="1" applyFill="1" applyBorder="1" applyAlignment="1">
      <alignment/>
    </xf>
    <xf numFmtId="212" fontId="4" fillId="2" borderId="2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181" fontId="4" fillId="2" borderId="12" xfId="0" applyNumberFormat="1" applyFont="1" applyFill="1" applyBorder="1" applyAlignment="1">
      <alignment/>
    </xf>
    <xf numFmtId="181" fontId="4" fillId="2" borderId="18" xfId="0" applyNumberFormat="1" applyFont="1" applyFill="1" applyBorder="1" applyAlignment="1">
      <alignment/>
    </xf>
    <xf numFmtId="179" fontId="4" fillId="2" borderId="18" xfId="0" applyNumberFormat="1" applyFont="1" applyFill="1" applyBorder="1" applyAlignment="1">
      <alignment/>
    </xf>
    <xf numFmtId="181" fontId="4" fillId="2" borderId="24" xfId="0" applyNumberFormat="1" applyFont="1" applyFill="1" applyBorder="1" applyAlignment="1">
      <alignment/>
    </xf>
    <xf numFmtId="181" fontId="4" fillId="2" borderId="11" xfId="0" applyNumberFormat="1" applyFont="1" applyFill="1" applyBorder="1" applyAlignment="1">
      <alignment/>
    </xf>
    <xf numFmtId="181" fontId="4" fillId="2" borderId="34" xfId="0" applyNumberFormat="1" applyFont="1" applyFill="1" applyBorder="1" applyAlignment="1">
      <alignment/>
    </xf>
    <xf numFmtId="181" fontId="4" fillId="2" borderId="13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3" xfId="0" applyNumberFormat="1" applyFont="1" applyFill="1" applyBorder="1" applyAlignment="1">
      <alignment/>
    </xf>
    <xf numFmtId="179" fontId="4" fillId="2" borderId="3" xfId="0" applyNumberFormat="1" applyFont="1" applyFill="1" applyBorder="1" applyAlignment="1">
      <alignment/>
    </xf>
    <xf numFmtId="181" fontId="4" fillId="2" borderId="8" xfId="0" applyNumberFormat="1" applyFont="1" applyFill="1" applyBorder="1" applyAlignment="1">
      <alignment/>
    </xf>
    <xf numFmtId="181" fontId="4" fillId="2" borderId="14" xfId="0" applyNumberFormat="1" applyFont="1" applyFill="1" applyBorder="1" applyAlignment="1">
      <alignment/>
    </xf>
    <xf numFmtId="181" fontId="4" fillId="2" borderId="29" xfId="0" applyNumberFormat="1" applyFont="1" applyFill="1" applyBorder="1" applyAlignment="1">
      <alignment/>
    </xf>
    <xf numFmtId="181" fontId="4" fillId="2" borderId="1" xfId="0" applyNumberFormat="1" applyFont="1" applyFill="1" applyBorder="1" applyAlignment="1">
      <alignment/>
    </xf>
    <xf numFmtId="181" fontId="4" fillId="2" borderId="21" xfId="0" applyNumberFormat="1" applyFont="1" applyFill="1" applyBorder="1" applyAlignment="1">
      <alignment/>
    </xf>
    <xf numFmtId="181" fontId="4" fillId="2" borderId="20" xfId="0" applyNumberFormat="1" applyFont="1" applyFill="1" applyBorder="1" applyAlignment="1">
      <alignment/>
    </xf>
    <xf numFmtId="179" fontId="4" fillId="2" borderId="20" xfId="0" applyNumberFormat="1" applyFont="1" applyFill="1" applyBorder="1" applyAlignment="1">
      <alignment/>
    </xf>
    <xf numFmtId="181" fontId="4" fillId="2" borderId="19" xfId="0" applyNumberFormat="1" applyFont="1" applyFill="1" applyBorder="1" applyAlignment="1">
      <alignment/>
    </xf>
    <xf numFmtId="181" fontId="4" fillId="2" borderId="25" xfId="0" applyNumberFormat="1" applyFont="1" applyFill="1" applyBorder="1" applyAlignment="1">
      <alignment/>
    </xf>
    <xf numFmtId="181" fontId="4" fillId="2" borderId="45" xfId="0" applyNumberFormat="1" applyFont="1" applyFill="1" applyBorder="1" applyAlignment="1">
      <alignment/>
    </xf>
    <xf numFmtId="181" fontId="4" fillId="2" borderId="22" xfId="0" applyNumberFormat="1" applyFont="1" applyFill="1" applyBorder="1" applyAlignment="1">
      <alignment/>
    </xf>
    <xf numFmtId="181" fontId="4" fillId="2" borderId="16" xfId="0" applyNumberFormat="1" applyFont="1" applyFill="1" applyBorder="1" applyAlignment="1">
      <alignment/>
    </xf>
    <xf numFmtId="181" fontId="4" fillId="2" borderId="4" xfId="0" applyNumberFormat="1" applyFont="1" applyFill="1" applyBorder="1" applyAlignment="1">
      <alignment/>
    </xf>
    <xf numFmtId="179" fontId="4" fillId="2" borderId="4" xfId="0" applyNumberFormat="1" applyFont="1" applyFill="1" applyBorder="1" applyAlignment="1">
      <alignment/>
    </xf>
    <xf numFmtId="181" fontId="4" fillId="2" borderId="9" xfId="0" applyNumberFormat="1" applyFont="1" applyFill="1" applyBorder="1" applyAlignment="1">
      <alignment/>
    </xf>
    <xf numFmtId="181" fontId="4" fillId="2" borderId="15" xfId="0" applyNumberFormat="1" applyFont="1" applyFill="1" applyBorder="1" applyAlignment="1">
      <alignment/>
    </xf>
    <xf numFmtId="181" fontId="4" fillId="2" borderId="46" xfId="0" applyNumberFormat="1" applyFont="1" applyFill="1" applyBorder="1" applyAlignment="1">
      <alignment/>
    </xf>
    <xf numFmtId="181" fontId="4" fillId="2" borderId="2" xfId="0" applyNumberFormat="1" applyFont="1" applyFill="1" applyBorder="1" applyAlignment="1">
      <alignment/>
    </xf>
    <xf numFmtId="212" fontId="4" fillId="2" borderId="1" xfId="0" applyNumberFormat="1" applyFont="1" applyFill="1" applyBorder="1" applyAlignment="1">
      <alignment/>
    </xf>
    <xf numFmtId="212" fontId="4" fillId="2" borderId="14" xfId="0" applyNumberFormat="1" applyFont="1" applyFill="1" applyBorder="1" applyAlignment="1">
      <alignment/>
    </xf>
    <xf numFmtId="212" fontId="4" fillId="2" borderId="29" xfId="0" applyNumberFormat="1" applyFont="1" applyFill="1" applyBorder="1" applyAlignment="1">
      <alignment/>
    </xf>
    <xf numFmtId="212" fontId="4" fillId="2" borderId="22" xfId="0" applyNumberFormat="1" applyFont="1" applyFill="1" applyBorder="1" applyAlignment="1">
      <alignment/>
    </xf>
    <xf numFmtId="212" fontId="4" fillId="2" borderId="25" xfId="0" applyNumberFormat="1" applyFont="1" applyFill="1" applyBorder="1" applyAlignment="1">
      <alignment/>
    </xf>
    <xf numFmtId="212" fontId="4" fillId="2" borderId="45" xfId="0" applyNumberFormat="1" applyFont="1" applyFill="1" applyBorder="1" applyAlignment="1">
      <alignment/>
    </xf>
    <xf numFmtId="212" fontId="4" fillId="2" borderId="15" xfId="0" applyNumberFormat="1" applyFont="1" applyFill="1" applyBorder="1" applyAlignment="1">
      <alignment/>
    </xf>
    <xf numFmtId="176" fontId="0" fillId="2" borderId="8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207" fontId="0" fillId="2" borderId="1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2" borderId="11" xfId="0" applyFill="1" applyBorder="1" applyAlignment="1" quotePrefix="1">
      <alignment horizontal="left"/>
    </xf>
    <xf numFmtId="0" fontId="0" fillId="2" borderId="13" xfId="0" applyFill="1" applyBorder="1" applyAlignment="1">
      <alignment/>
    </xf>
    <xf numFmtId="181" fontId="0" fillId="2" borderId="44" xfId="17" applyNumberFormat="1" applyFill="1" applyBorder="1" applyAlignment="1">
      <alignment/>
    </xf>
    <xf numFmtId="181" fontId="0" fillId="2" borderId="24" xfId="17" applyNumberFormat="1" applyFill="1" applyBorder="1" applyAlignment="1">
      <alignment/>
    </xf>
    <xf numFmtId="181" fontId="0" fillId="2" borderId="13" xfId="17" applyNumberFormat="1" applyFill="1" applyBorder="1" applyAlignment="1">
      <alignment/>
    </xf>
    <xf numFmtId="181" fontId="0" fillId="2" borderId="12" xfId="17" applyNumberFormat="1" applyFill="1" applyBorder="1" applyAlignment="1">
      <alignment/>
    </xf>
    <xf numFmtId="0" fontId="0" fillId="2" borderId="12" xfId="0" applyFill="1" applyBorder="1" applyAlignment="1">
      <alignment/>
    </xf>
    <xf numFmtId="176" fontId="0" fillId="2" borderId="44" xfId="0" applyNumberFormat="1" applyFill="1" applyBorder="1" applyAlignment="1">
      <alignment/>
    </xf>
    <xf numFmtId="176" fontId="0" fillId="2" borderId="24" xfId="0" applyNumberFormat="1" applyFill="1" applyBorder="1" applyAlignment="1">
      <alignment/>
    </xf>
    <xf numFmtId="176" fontId="0" fillId="2" borderId="13" xfId="0" applyNumberFormat="1" applyFill="1" applyBorder="1" applyAlignment="1">
      <alignment/>
    </xf>
    <xf numFmtId="0" fontId="0" fillId="2" borderId="14" xfId="0" applyFill="1" applyBorder="1" applyAlignment="1" quotePrefix="1">
      <alignment horizontal="left"/>
    </xf>
    <xf numFmtId="0" fontId="0" fillId="2" borderId="1" xfId="0" applyFill="1" applyBorder="1" applyAlignment="1">
      <alignment/>
    </xf>
    <xf numFmtId="181" fontId="0" fillId="2" borderId="26" xfId="17" applyNumberFormat="1" applyFill="1" applyBorder="1" applyAlignment="1">
      <alignment/>
    </xf>
    <xf numFmtId="181" fontId="0" fillId="2" borderId="8" xfId="17" applyNumberFormat="1" applyFill="1" applyBorder="1" applyAlignment="1">
      <alignment/>
    </xf>
    <xf numFmtId="181" fontId="0" fillId="2" borderId="1" xfId="17" applyNumberFormat="1" applyFill="1" applyBorder="1" applyAlignment="1">
      <alignment/>
    </xf>
    <xf numFmtId="181" fontId="0" fillId="2" borderId="0" xfId="17" applyNumberFormat="1" applyFill="1" applyBorder="1" applyAlignment="1">
      <alignment/>
    </xf>
    <xf numFmtId="0" fontId="0" fillId="2" borderId="0" xfId="0" applyFill="1" applyBorder="1" applyAlignment="1">
      <alignment/>
    </xf>
    <xf numFmtId="176" fontId="0" fillId="2" borderId="26" xfId="0" applyNumberFormat="1" applyFill="1" applyBorder="1" applyAlignment="1">
      <alignment/>
    </xf>
    <xf numFmtId="0" fontId="0" fillId="2" borderId="14" xfId="0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26" xfId="0" applyFill="1" applyBorder="1" applyAlignment="1" quotePrefix="1">
      <alignment horizontal="left"/>
    </xf>
    <xf numFmtId="183" fontId="0" fillId="2" borderId="26" xfId="0" applyNumberFormat="1" applyFill="1" applyBorder="1" applyAlignment="1">
      <alignment/>
    </xf>
    <xf numFmtId="183" fontId="0" fillId="2" borderId="8" xfId="0" applyNumberFormat="1" applyFill="1" applyBorder="1" applyAlignment="1">
      <alignment/>
    </xf>
    <xf numFmtId="183" fontId="0" fillId="2" borderId="1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" xfId="0" applyFill="1" applyBorder="1" applyAlignment="1">
      <alignment/>
    </xf>
    <xf numFmtId="181" fontId="0" fillId="2" borderId="17" xfId="17" applyNumberFormat="1" applyFill="1" applyBorder="1" applyAlignment="1">
      <alignment/>
    </xf>
    <xf numFmtId="181" fontId="0" fillId="2" borderId="9" xfId="17" applyNumberFormat="1" applyFill="1" applyBorder="1" applyAlignment="1">
      <alignment/>
    </xf>
    <xf numFmtId="181" fontId="0" fillId="2" borderId="2" xfId="17" applyNumberFormat="1" applyFill="1" applyBorder="1" applyAlignment="1">
      <alignment/>
    </xf>
    <xf numFmtId="181" fontId="0" fillId="2" borderId="16" xfId="17" applyNumberFormat="1" applyFill="1" applyBorder="1" applyAlignment="1">
      <alignment/>
    </xf>
    <xf numFmtId="0" fontId="0" fillId="2" borderId="16" xfId="0" applyFill="1" applyBorder="1" applyAlignment="1">
      <alignment/>
    </xf>
    <xf numFmtId="183" fontId="0" fillId="2" borderId="17" xfId="0" applyNumberFormat="1" applyFill="1" applyBorder="1" applyAlignment="1">
      <alignment/>
    </xf>
    <xf numFmtId="183" fontId="0" fillId="2" borderId="9" xfId="0" applyNumberFormat="1" applyFill="1" applyBorder="1" applyAlignment="1">
      <alignment/>
    </xf>
    <xf numFmtId="183" fontId="0" fillId="2" borderId="2" xfId="0" applyNumberFormat="1" applyFill="1" applyBorder="1" applyAlignment="1">
      <alignment/>
    </xf>
    <xf numFmtId="0" fontId="0" fillId="2" borderId="20" xfId="0" applyFill="1" applyBorder="1" applyAlignment="1">
      <alignment/>
    </xf>
    <xf numFmtId="38" fontId="0" fillId="2" borderId="21" xfId="17" applyFill="1" applyBorder="1" applyAlignment="1">
      <alignment/>
    </xf>
    <xf numFmtId="38" fontId="0" fillId="2" borderId="22" xfId="17" applyFill="1" applyBorder="1" applyAlignment="1">
      <alignment/>
    </xf>
    <xf numFmtId="0" fontId="0" fillId="2" borderId="20" xfId="0" applyFill="1" applyBorder="1" applyAlignment="1" quotePrefix="1">
      <alignment horizontal="left"/>
    </xf>
    <xf numFmtId="176" fontId="0" fillId="2" borderId="16" xfId="0" applyNumberFormat="1" applyFill="1" applyBorder="1" applyAlignment="1">
      <alignment/>
    </xf>
    <xf numFmtId="0" fontId="0" fillId="2" borderId="0" xfId="0" applyFill="1" applyAlignment="1">
      <alignment horizontal="left"/>
    </xf>
    <xf numFmtId="38" fontId="0" fillId="2" borderId="0" xfId="17" applyFill="1" applyAlignment="1">
      <alignment/>
    </xf>
    <xf numFmtId="0" fontId="0" fillId="2" borderId="20" xfId="0" applyFill="1" applyBorder="1" applyAlignment="1">
      <alignment horizontal="left"/>
    </xf>
    <xf numFmtId="176" fontId="4" fillId="0" borderId="8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85" fontId="4" fillId="0" borderId="0" xfId="0" applyNumberFormat="1" applyFont="1" applyFill="1" applyAlignment="1" quotePrefix="1">
      <alignment horizontal="left"/>
    </xf>
    <xf numFmtId="205" fontId="4" fillId="0" borderId="0" xfId="0" applyNumberFormat="1" applyFont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38" fontId="4" fillId="0" borderId="8" xfId="17" applyFont="1" applyFill="1" applyBorder="1" applyAlignment="1">
      <alignment/>
    </xf>
    <xf numFmtId="38" fontId="4" fillId="0" borderId="19" xfId="17" applyFont="1" applyFill="1" applyBorder="1" applyAlignment="1">
      <alignment/>
    </xf>
    <xf numFmtId="38" fontId="4" fillId="0" borderId="9" xfId="17" applyFont="1" applyFill="1" applyBorder="1" applyAlignment="1">
      <alignment/>
    </xf>
    <xf numFmtId="38" fontId="4" fillId="0" borderId="16" xfId="17" applyFont="1" applyFill="1" applyBorder="1" applyAlignment="1">
      <alignment/>
    </xf>
    <xf numFmtId="213" fontId="4" fillId="0" borderId="1" xfId="0" applyNumberFormat="1" applyFont="1" applyFill="1" applyBorder="1" applyAlignment="1">
      <alignment/>
    </xf>
    <xf numFmtId="213" fontId="4" fillId="0" borderId="22" xfId="0" applyNumberFormat="1" applyFont="1" applyFill="1" applyBorder="1" applyAlignment="1">
      <alignment/>
    </xf>
    <xf numFmtId="213" fontId="4" fillId="0" borderId="2" xfId="0" applyNumberFormat="1" applyFont="1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3" xfId="0" applyFill="1" applyBorder="1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17" xfId="0" applyFont="1" applyBorder="1" applyAlignment="1" quotePrefix="1">
      <alignment horizontal="left"/>
    </xf>
    <xf numFmtId="179" fontId="4" fillId="0" borderId="1" xfId="0" applyNumberFormat="1" applyFont="1" applyFill="1" applyBorder="1" applyAlignment="1">
      <alignment/>
    </xf>
    <xf numFmtId="179" fontId="4" fillId="0" borderId="52" xfId="0" applyNumberFormat="1" applyFont="1" applyFill="1" applyBorder="1" applyAlignment="1">
      <alignment/>
    </xf>
    <xf numFmtId="179" fontId="4" fillId="0" borderId="26" xfId="0" applyNumberFormat="1" applyFont="1" applyFill="1" applyBorder="1" applyAlignment="1">
      <alignment/>
    </xf>
    <xf numFmtId="179" fontId="4" fillId="0" borderId="8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184" fontId="4" fillId="0" borderId="21" xfId="0" applyNumberFormat="1" applyFont="1" applyFill="1" applyBorder="1" applyAlignment="1">
      <alignment/>
    </xf>
    <xf numFmtId="179" fontId="4" fillId="0" borderId="53" xfId="0" applyNumberFormat="1" applyFont="1" applyFill="1" applyBorder="1" applyAlignment="1">
      <alignment/>
    </xf>
    <xf numFmtId="179" fontId="4" fillId="0" borderId="27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84" fontId="4" fillId="0" borderId="9" xfId="0" applyNumberFormat="1" applyFont="1" applyFill="1" applyBorder="1" applyAlignment="1">
      <alignment/>
    </xf>
    <xf numFmtId="179" fontId="4" fillId="0" borderId="2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/>
    </xf>
    <xf numFmtId="179" fontId="4" fillId="0" borderId="54" xfId="0" applyNumberFormat="1" applyFont="1" applyFill="1" applyBorder="1" applyAlignment="1">
      <alignment/>
    </xf>
    <xf numFmtId="179" fontId="4" fillId="0" borderId="17" xfId="0" applyNumberFormat="1" applyFont="1" applyFill="1" applyBorder="1" applyAlignment="1">
      <alignment/>
    </xf>
    <xf numFmtId="179" fontId="4" fillId="0" borderId="9" xfId="0" applyNumberFormat="1" applyFont="1" applyFill="1" applyBorder="1" applyAlignment="1">
      <alignment/>
    </xf>
    <xf numFmtId="184" fontId="4" fillId="0" borderId="46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38" fontId="4" fillId="0" borderId="44" xfId="17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213" fontId="4" fillId="0" borderId="44" xfId="0" applyNumberFormat="1" applyFont="1" applyFill="1" applyBorder="1" applyAlignment="1">
      <alignment/>
    </xf>
    <xf numFmtId="213" fontId="4" fillId="0" borderId="12" xfId="0" applyNumberFormat="1" applyFont="1" applyFill="1" applyBorder="1" applyAlignment="1">
      <alignment/>
    </xf>
    <xf numFmtId="213" fontId="4" fillId="0" borderId="26" xfId="0" applyNumberFormat="1" applyFont="1" applyFill="1" applyBorder="1" applyAlignment="1">
      <alignment/>
    </xf>
    <xf numFmtId="213" fontId="4" fillId="0" borderId="17" xfId="0" applyNumberFormat="1" applyFont="1" applyFill="1" applyBorder="1" applyAlignment="1">
      <alignment/>
    </xf>
    <xf numFmtId="213" fontId="4" fillId="0" borderId="35" xfId="0" applyNumberFormat="1" applyFont="1" applyFill="1" applyBorder="1" applyAlignment="1">
      <alignment/>
    </xf>
    <xf numFmtId="213" fontId="4" fillId="0" borderId="34" xfId="0" applyNumberFormat="1" applyFont="1" applyFill="1" applyBorder="1" applyAlignment="1">
      <alignment/>
    </xf>
    <xf numFmtId="213" fontId="4" fillId="0" borderId="29" xfId="0" applyNumberFormat="1" applyFont="1" applyFill="1" applyBorder="1" applyAlignment="1">
      <alignment/>
    </xf>
    <xf numFmtId="185" fontId="4" fillId="0" borderId="8" xfId="0" applyNumberFormat="1" applyFont="1" applyBorder="1" applyAlignment="1">
      <alignment/>
    </xf>
    <xf numFmtId="0" fontId="4" fillId="0" borderId="55" xfId="0" applyFont="1" applyFill="1" applyBorder="1" applyAlignment="1">
      <alignment/>
    </xf>
    <xf numFmtId="222" fontId="4" fillId="0" borderId="32" xfId="0" applyNumberFormat="1" applyFont="1" applyFill="1" applyBorder="1" applyAlignment="1">
      <alignment/>
    </xf>
    <xf numFmtId="222" fontId="4" fillId="0" borderId="56" xfId="0" applyNumberFormat="1" applyFont="1" applyFill="1" applyBorder="1" applyAlignment="1">
      <alignment/>
    </xf>
    <xf numFmtId="0" fontId="4" fillId="0" borderId="52" xfId="0" applyFont="1" applyFill="1" applyBorder="1" applyAlignment="1">
      <alignment/>
    </xf>
    <xf numFmtId="222" fontId="4" fillId="0" borderId="29" xfId="0" applyNumberFormat="1" applyFont="1" applyFill="1" applyBorder="1" applyAlignment="1">
      <alignment/>
    </xf>
    <xf numFmtId="222" fontId="4" fillId="0" borderId="8" xfId="0" applyNumberFormat="1" applyFont="1" applyFill="1" applyBorder="1" applyAlignment="1">
      <alignment/>
    </xf>
    <xf numFmtId="0" fontId="4" fillId="0" borderId="53" xfId="0" applyFont="1" applyFill="1" applyBorder="1" applyAlignment="1">
      <alignment/>
    </xf>
    <xf numFmtId="222" fontId="4" fillId="0" borderId="45" xfId="0" applyNumberFormat="1" applyFont="1" applyFill="1" applyBorder="1" applyAlignment="1">
      <alignment/>
    </xf>
    <xf numFmtId="222" fontId="4" fillId="0" borderId="19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185" fontId="0" fillId="0" borderId="8" xfId="0" applyNumberFormat="1" applyFill="1" applyBorder="1" applyAlignment="1">
      <alignment/>
    </xf>
    <xf numFmtId="0" fontId="0" fillId="0" borderId="23" xfId="0" applyBorder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2" xfId="17" applyFill="1" applyBorder="1" applyAlignment="1">
      <alignment/>
    </xf>
    <xf numFmtId="38" fontId="0" fillId="0" borderId="14" xfId="17" applyFill="1" applyBorder="1" applyAlignment="1">
      <alignment/>
    </xf>
    <xf numFmtId="185" fontId="0" fillId="0" borderId="41" xfId="0" applyNumberFormat="1" applyFill="1" applyBorder="1" applyAlignment="1">
      <alignment/>
    </xf>
    <xf numFmtId="38" fontId="0" fillId="0" borderId="16" xfId="17" applyFill="1" applyBorder="1" applyAlignment="1">
      <alignment/>
    </xf>
    <xf numFmtId="185" fontId="0" fillId="0" borderId="1" xfId="0" applyNumberFormat="1" applyFill="1" applyBorder="1" applyAlignment="1">
      <alignment/>
    </xf>
    <xf numFmtId="212" fontId="4" fillId="0" borderId="2" xfId="0" applyNumberFormat="1" applyFont="1" applyFill="1" applyBorder="1" applyAlignment="1">
      <alignment/>
    </xf>
    <xf numFmtId="212" fontId="4" fillId="0" borderId="46" xfId="0" applyNumberFormat="1" applyFont="1" applyFill="1" applyBorder="1" applyAlignment="1">
      <alignment/>
    </xf>
    <xf numFmtId="176" fontId="4" fillId="0" borderId="46" xfId="0" applyNumberFormat="1" applyFont="1" applyFill="1" applyBorder="1" applyAlignment="1">
      <alignment/>
    </xf>
    <xf numFmtId="221" fontId="4" fillId="0" borderId="0" xfId="0" applyNumberFormat="1" applyFont="1" applyAlignment="1">
      <alignment/>
    </xf>
    <xf numFmtId="38" fontId="0" fillId="0" borderId="15" xfId="17" applyFill="1" applyBorder="1" applyAlignment="1">
      <alignment/>
    </xf>
    <xf numFmtId="185" fontId="0" fillId="0" borderId="50" xfId="0" applyNumberFormat="1" applyFill="1" applyBorder="1" applyAlignment="1">
      <alignment/>
    </xf>
    <xf numFmtId="0" fontId="0" fillId="0" borderId="4" xfId="0" applyFill="1" applyBorder="1" applyAlignment="1">
      <alignment/>
    </xf>
    <xf numFmtId="185" fontId="0" fillId="0" borderId="9" xfId="0" applyNumberFormat="1" applyFill="1" applyBorder="1" applyAlignment="1">
      <alignment/>
    </xf>
    <xf numFmtId="185" fontId="0" fillId="0" borderId="2" xfId="0" applyNumberFormat="1" applyFill="1" applyBorder="1" applyAlignment="1">
      <alignment/>
    </xf>
    <xf numFmtId="207" fontId="4" fillId="0" borderId="9" xfId="0" applyNumberFormat="1" applyFont="1" applyFill="1" applyBorder="1" applyAlignment="1">
      <alignment/>
    </xf>
    <xf numFmtId="182" fontId="4" fillId="0" borderId="4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182" fontId="4" fillId="0" borderId="46" xfId="0" applyNumberFormat="1" applyFont="1" applyFill="1" applyBorder="1" applyAlignment="1">
      <alignment/>
    </xf>
    <xf numFmtId="213" fontId="4" fillId="0" borderId="27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176" fontId="5" fillId="0" borderId="2" xfId="0" applyNumberFormat="1" applyFont="1" applyFill="1" applyBorder="1" applyAlignment="1">
      <alignment/>
    </xf>
    <xf numFmtId="38" fontId="4" fillId="5" borderId="0" xfId="17" applyFont="1" applyFill="1" applyBorder="1" applyAlignment="1">
      <alignment/>
    </xf>
    <xf numFmtId="213" fontId="4" fillId="2" borderId="26" xfId="0" applyNumberFormat="1" applyFont="1" applyFill="1" applyBorder="1" applyAlignment="1">
      <alignment/>
    </xf>
    <xf numFmtId="213" fontId="4" fillId="2" borderId="0" xfId="0" applyNumberFormat="1" applyFont="1" applyFill="1" applyBorder="1" applyAlignment="1">
      <alignment/>
    </xf>
    <xf numFmtId="213" fontId="4" fillId="2" borderId="27" xfId="0" applyNumberFormat="1" applyFont="1" applyFill="1" applyBorder="1" applyAlignment="1">
      <alignment/>
    </xf>
    <xf numFmtId="184" fontId="4" fillId="2" borderId="8" xfId="0" applyNumberFormat="1" applyFont="1" applyFill="1" applyBorder="1" applyAlignment="1">
      <alignment/>
    </xf>
    <xf numFmtId="184" fontId="4" fillId="2" borderId="19" xfId="0" applyNumberFormat="1" applyFont="1" applyFill="1" applyBorder="1" applyAlignment="1">
      <alignment/>
    </xf>
    <xf numFmtId="184" fontId="4" fillId="2" borderId="26" xfId="0" applyNumberFormat="1" applyFont="1" applyFill="1" applyBorder="1" applyAlignment="1">
      <alignment/>
    </xf>
    <xf numFmtId="213" fontId="4" fillId="2" borderId="29" xfId="0" applyNumberFormat="1" applyFont="1" applyFill="1" applyBorder="1" applyAlignment="1">
      <alignment/>
    </xf>
    <xf numFmtId="212" fontId="4" fillId="0" borderId="16" xfId="0" applyNumberFormat="1" applyFont="1" applyFill="1" applyBorder="1" applyAlignment="1">
      <alignment/>
    </xf>
    <xf numFmtId="178" fontId="5" fillId="0" borderId="9" xfId="1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1" fontId="13" fillId="0" borderId="0" xfId="17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0" xfId="17" applyNumberFormat="1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81" fontId="0" fillId="0" borderId="36" xfId="17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38" fontId="0" fillId="0" borderId="36" xfId="17" applyFont="1" applyFill="1" applyBorder="1" applyAlignment="1">
      <alignment/>
    </xf>
    <xf numFmtId="38" fontId="0" fillId="0" borderId="36" xfId="17" applyFont="1" applyFill="1" applyBorder="1" applyAlignment="1">
      <alignment/>
    </xf>
    <xf numFmtId="0" fontId="0" fillId="0" borderId="3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2"/>
          <c:w val="0.9195"/>
          <c:h val="0.77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'2-1-3 旅客輸送機関分担率推移'!$C$4</c:f>
              <c:strCache>
                <c:ptCount val="1"/>
                <c:pt idx="0">
                  <c:v>ＪＲ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旅客輸送機関分担率推移'!$C$5:$C$9</c:f>
              <c:numCache>
                <c:ptCount val="5"/>
                <c:pt idx="0">
                  <c:v>17.9</c:v>
                </c:pt>
                <c:pt idx="1">
                  <c:v>17.4588594221639</c:v>
                </c:pt>
                <c:pt idx="2">
                  <c:v>17.04727548647786</c:v>
                </c:pt>
                <c:pt idx="3">
                  <c:v>16.904020640563296</c:v>
                </c:pt>
                <c:pt idx="4">
                  <c:v>16.95147650081305</c:v>
                </c:pt>
              </c:numCache>
            </c:numRef>
          </c:val>
        </c:ser>
        <c:ser>
          <c:idx val="1"/>
          <c:order val="1"/>
          <c:tx>
            <c:strRef>
              <c:f>'2-1-3 旅客輸送機関分担率推移'!$D$4</c:f>
              <c:strCache>
                <c:ptCount val="1"/>
                <c:pt idx="0">
                  <c:v>民鉄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旅客輸送機関分担率推移'!$D$5:$D$9</c:f>
              <c:numCache>
                <c:ptCount val="5"/>
                <c:pt idx="0">
                  <c:v>10.7</c:v>
                </c:pt>
                <c:pt idx="1">
                  <c:v>10.382898907761074</c:v>
                </c:pt>
                <c:pt idx="2">
                  <c:v>10.259469844354323</c:v>
                </c:pt>
                <c:pt idx="3">
                  <c:v>10.130422581056907</c:v>
                </c:pt>
                <c:pt idx="4">
                  <c:v>10.12773101841025</c:v>
                </c:pt>
              </c:numCache>
            </c:numRef>
          </c:val>
        </c:ser>
        <c:ser>
          <c:idx val="2"/>
          <c:order val="2"/>
          <c:tx>
            <c:strRef>
              <c:f>'2-1-3 旅客輸送機関分担率推移'!$E$4</c:f>
              <c:strCache>
                <c:ptCount val="1"/>
                <c:pt idx="0">
                  <c:v>営業用バス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旅客輸送機関分担率推移'!$E$5:$E$9</c:f>
              <c:numCache>
                <c:ptCount val="5"/>
                <c:pt idx="0">
                  <c:v>5.1</c:v>
                </c:pt>
                <c:pt idx="1">
                  <c:v>5.012150808574951</c:v>
                </c:pt>
                <c:pt idx="2">
                  <c:v>4.958404697029805</c:v>
                </c:pt>
                <c:pt idx="3">
                  <c:v>4.871531319031054</c:v>
                </c:pt>
                <c:pt idx="4">
                  <c:v>4.8973612067930095</c:v>
                </c:pt>
              </c:numCache>
            </c:numRef>
          </c:val>
        </c:ser>
        <c:ser>
          <c:idx val="3"/>
          <c:order val="3"/>
          <c:tx>
            <c:strRef>
              <c:f>'2-1-3 旅客輸送機関分担率推移'!$F$4</c:f>
              <c:strCache>
                <c:ptCount val="1"/>
                <c:pt idx="0">
                  <c:v>営業用自動車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旅客輸送機関分担率推移'!$F$5:$F$9</c:f>
              <c:numCache>
                <c:ptCount val="5"/>
                <c:pt idx="0">
                  <c:v>0.9</c:v>
                </c:pt>
                <c:pt idx="1">
                  <c:v>0.9036220335458309</c:v>
                </c:pt>
                <c:pt idx="2">
                  <c:v>0.8666409777333142</c:v>
                </c:pt>
                <c:pt idx="3">
                  <c:v>0.8504953562383915</c:v>
                </c:pt>
                <c:pt idx="4">
                  <c:v>0.8489347853024293</c:v>
                </c:pt>
              </c:numCache>
            </c:numRef>
          </c:val>
        </c:ser>
        <c:ser>
          <c:idx val="4"/>
          <c:order val="4"/>
          <c:tx>
            <c:strRef>
              <c:f>'2-1-3 旅客輸送機関分担率推移'!$G$4</c:f>
              <c:strCache>
                <c:ptCount val="1"/>
                <c:pt idx="0">
                  <c:v>航空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旅客輸送機関分担率推移'!$G$5:$G$9</c:f>
              <c:numCache>
                <c:ptCount val="5"/>
                <c:pt idx="0">
                  <c:v>4.9</c:v>
                </c:pt>
                <c:pt idx="1">
                  <c:v>5.16291134938922</c:v>
                </c:pt>
                <c:pt idx="2">
                  <c:v>5.334976520084058</c:v>
                </c:pt>
                <c:pt idx="3">
                  <c:v>5.570319091805235</c:v>
                </c:pt>
                <c:pt idx="4">
                  <c:v>5.613751444705942</c:v>
                </c:pt>
              </c:numCache>
            </c:numRef>
          </c:val>
        </c:ser>
        <c:ser>
          <c:idx val="5"/>
          <c:order val="5"/>
          <c:tx>
            <c:strRef>
              <c:f>'2-1-3 旅客輸送機関分担率推移'!$H$4</c:f>
              <c:strCache>
                <c:ptCount val="1"/>
                <c:pt idx="0">
                  <c:v>旅客船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旅客輸送機関分担率推移'!$H$5:$H$9</c:f>
              <c:numCache>
                <c:ptCount val="5"/>
                <c:pt idx="0">
                  <c:v>0.4</c:v>
                </c:pt>
                <c:pt idx="1">
                  <c:v>0.3772204587040522</c:v>
                </c:pt>
                <c:pt idx="2">
                  <c:v>0.32274779535098597</c:v>
                </c:pt>
                <c:pt idx="3">
                  <c:v>0.3137753255679374</c:v>
                </c:pt>
                <c:pt idx="4">
                  <c:v>0.3031512053683434</c:v>
                </c:pt>
              </c:numCache>
            </c:numRef>
          </c:val>
        </c:ser>
        <c:ser>
          <c:idx val="6"/>
          <c:order val="6"/>
          <c:tx>
            <c:strRef>
              <c:f>'2-1-3 旅客輸送機関分担率推移'!$I$4</c:f>
              <c:strCache>
                <c:ptCount val="1"/>
                <c:pt idx="0">
                  <c:v>自家用バス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旅客輸送機関分担率推移'!$I$5:$I$9</c:f>
              <c:numCache>
                <c:ptCount val="5"/>
                <c:pt idx="0">
                  <c:v>1.6</c:v>
                </c:pt>
                <c:pt idx="1">
                  <c:v>1.5370509909480954</c:v>
                </c:pt>
                <c:pt idx="2">
                  <c:v>1.3907555330621624</c:v>
                </c:pt>
                <c:pt idx="3">
                  <c:v>1.3543355284473613</c:v>
                </c:pt>
                <c:pt idx="4">
                  <c:v>1.252140284132103</c:v>
                </c:pt>
              </c:numCache>
            </c:numRef>
          </c:val>
        </c:ser>
        <c:ser>
          <c:idx val="7"/>
          <c:order val="7"/>
          <c:tx>
            <c:strRef>
              <c:f>'2-1-3 旅客輸送機関分担率推移'!$J$4</c:f>
              <c:strCache>
                <c:ptCount val="1"/>
                <c:pt idx="0">
                  <c:v>自家用自動車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旅客輸送機関分担率推移'!$J$5:$J$9</c:f>
              <c:numCache>
                <c:ptCount val="5"/>
                <c:pt idx="0">
                  <c:v>43.1</c:v>
                </c:pt>
                <c:pt idx="1">
                  <c:v>43.61076024358296</c:v>
                </c:pt>
                <c:pt idx="2">
                  <c:v>44.336772993483244</c:v>
                </c:pt>
                <c:pt idx="3">
                  <c:v>44.424193030936365</c:v>
                </c:pt>
                <c:pt idx="4">
                  <c:v>44.44327197353631</c:v>
                </c:pt>
              </c:numCache>
            </c:numRef>
          </c:val>
        </c:ser>
        <c:ser>
          <c:idx val="8"/>
          <c:order val="8"/>
          <c:tx>
            <c:strRef>
              <c:f>'2-1-3 旅客輸送機関分担率推移'!$K$4</c:f>
              <c:strCache>
                <c:ptCount val="1"/>
                <c:pt idx="0">
                  <c:v>軽自動車等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'2-1-3 旅客輸送機関分担率推移'!$K$5:$K$9</c:f>
              <c:numCache>
                <c:ptCount val="5"/>
                <c:pt idx="0">
                  <c:v>15.4</c:v>
                </c:pt>
                <c:pt idx="1">
                  <c:v>15.554525785329918</c:v>
                </c:pt>
                <c:pt idx="2">
                  <c:v>15.482956152424254</c:v>
                </c:pt>
                <c:pt idx="3">
                  <c:v>15.580907126353456</c:v>
                </c:pt>
                <c:pt idx="4">
                  <c:v>15.562181580938558</c:v>
                </c:pt>
              </c:numCache>
            </c:numRef>
          </c:val>
        </c:ser>
        <c:overlap val="100"/>
        <c:gapWidth val="10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49158863"/>
        <c:axId val="39776584"/>
      </c:barChart>
      <c:catAx>
        <c:axId val="491588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6584"/>
        <c:crosses val="autoZero"/>
        <c:auto val="0"/>
        <c:lblOffset val="100"/>
        <c:noMultiLvlLbl val="0"/>
      </c:catAx>
      <c:valAx>
        <c:axId val="3977658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crossAx val="491588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25"/>
          <c:w val="0.899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'2-1-4 乗合輸送量及平均輸送距離'!$C$18</c:f>
              <c:strCache>
                <c:ptCount val="1"/>
                <c:pt idx="0">
                  <c:v>輸送人員</c:v>
                </c:pt>
              </c:strCache>
            </c:strRef>
          </c:tx>
          <c:spPr>
            <a:pattFill prst="pct10">
              <a:fgClr>
                <a:srgbClr val="C0C0C0"/>
              </a:fgClr>
              <a:bgClr>
                <a:srgbClr val="C0C0C0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'2-1-4 乗合輸送量及平均輸送距離'!$B$19:$B$28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乗合輸送量及平均輸送距離'!$C$19:$C$28</c:f>
              <c:numCache>
                <c:ptCount val="10"/>
                <c:pt idx="0">
                  <c:v>6496.094</c:v>
                </c:pt>
                <c:pt idx="1">
                  <c:v>6358.294</c:v>
                </c:pt>
                <c:pt idx="2">
                  <c:v>6195.844</c:v>
                </c:pt>
                <c:pt idx="3">
                  <c:v>5938.505</c:v>
                </c:pt>
                <c:pt idx="4">
                  <c:v>5756.231</c:v>
                </c:pt>
                <c:pt idx="5">
                  <c:v>5599.617</c:v>
                </c:pt>
                <c:pt idx="6">
                  <c:v>5399.848</c:v>
                </c:pt>
                <c:pt idx="7">
                  <c:v>5171.516</c:v>
                </c:pt>
                <c:pt idx="8">
                  <c:v>4937.13</c:v>
                </c:pt>
                <c:pt idx="9">
                  <c:v>4803.027</c:v>
                </c:pt>
              </c:numCache>
            </c:numRef>
          </c:val>
        </c:ser>
        <c:ser>
          <c:idx val="3"/>
          <c:order val="2"/>
          <c:tx>
            <c:strRef>
              <c:f>'2-1-4 乗合輸送量及平均輸送距離'!$D$18</c:f>
              <c:strCache>
                <c:ptCount val="1"/>
                <c:pt idx="0">
                  <c:v>DummyData1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'2-1-4 乗合輸送量及平均輸送距離'!$D$19:$D$28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22444937"/>
        <c:axId val="677842"/>
      </c:barChart>
      <c:barChart>
        <c:barDir val="col"/>
        <c:grouping val="clustered"/>
        <c:varyColors val="0"/>
        <c:ser>
          <c:idx val="4"/>
          <c:order val="3"/>
          <c:tx>
            <c:strRef>
              <c:f>'2-1-4 乗合輸送量及平均輸送距離'!$E$18</c:f>
              <c:strCache>
                <c:ptCount val="1"/>
                <c:pt idx="0">
                  <c:v>DummyData2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'2-1-4 乗合輸送量及平均輸送距離'!$E$19:$E$28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4"/>
          <c:tx>
            <c:strRef>
              <c:f>'2-1-4 乗合輸送量及平均輸送距離'!$F$18</c:f>
              <c:strCache>
                <c:ptCount val="1"/>
                <c:pt idx="0">
                  <c:v>輸送人キロ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'2-1-4 乗合輸送量及平均輸送距離'!$B$19:$B$28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乗合輸送量及平均輸送距離'!$F$19:$F$28</c:f>
              <c:numCache>
                <c:ptCount val="10"/>
                <c:pt idx="0">
                  <c:v>34693.601</c:v>
                </c:pt>
                <c:pt idx="1">
                  <c:v>34530.401</c:v>
                </c:pt>
                <c:pt idx="2">
                  <c:v>33092.138</c:v>
                </c:pt>
                <c:pt idx="3">
                  <c:v>31883.321</c:v>
                </c:pt>
                <c:pt idx="4">
                  <c:v>30634.89</c:v>
                </c:pt>
                <c:pt idx="5">
                  <c:v>29342.543</c:v>
                </c:pt>
                <c:pt idx="6">
                  <c:v>28285.232</c:v>
                </c:pt>
                <c:pt idx="7">
                  <c:v>28119.067</c:v>
                </c:pt>
                <c:pt idx="8">
                  <c:v>26557.152</c:v>
                </c:pt>
                <c:pt idx="9">
                  <c:v>26977.823</c:v>
                </c:pt>
              </c:numCache>
            </c:numRef>
          </c:val>
        </c:ser>
        <c:gapWidth val="100"/>
        <c:axId val="6100579"/>
        <c:axId val="54905212"/>
      </c:barChart>
      <c:lineChart>
        <c:grouping val="standard"/>
        <c:varyColors val="0"/>
        <c:ser>
          <c:idx val="0"/>
          <c:order val="1"/>
          <c:tx>
            <c:strRef>
              <c:f>'2-1-4 乗合輸送量及平均輸送距離'!$G$18</c:f>
              <c:strCache>
                <c:ptCount val="1"/>
                <c:pt idx="0">
                  <c:v>平均輸送距離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'2-1-4 乗合輸送量及平均輸送距離'!$B$19:$B$28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乗合輸送量及平均輸送距離'!$G$19:$G$28</c:f>
              <c:numCache>
                <c:ptCount val="10"/>
                <c:pt idx="0">
                  <c:v>6840.686418638647</c:v>
                </c:pt>
                <c:pt idx="1">
                  <c:v>6930.765076292478</c:v>
                </c:pt>
                <c:pt idx="2">
                  <c:v>6841.02182043318</c:v>
                </c:pt>
                <c:pt idx="3">
                  <c:v>6868.913724918982</c:v>
                </c:pt>
                <c:pt idx="4">
                  <c:v>6822.03971661318</c:v>
                </c:pt>
                <c:pt idx="5">
                  <c:v>6740.098206716638</c:v>
                </c:pt>
                <c:pt idx="6">
                  <c:v>6738.153370243014</c:v>
                </c:pt>
                <c:pt idx="7">
                  <c:v>6937.296723049876</c:v>
                </c:pt>
                <c:pt idx="8">
                  <c:v>6879.066785764198</c:v>
                </c:pt>
                <c:pt idx="9">
                  <c:v>7116.837673408873</c:v>
                </c:pt>
              </c:numCache>
            </c:numRef>
          </c:val>
          <c:smooth val="0"/>
        </c:ser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7842"/>
        <c:crosses val="autoZero"/>
        <c:auto val="0"/>
        <c:lblOffset val="100"/>
        <c:noMultiLvlLbl val="0"/>
      </c:catAx>
      <c:valAx>
        <c:axId val="677842"/>
        <c:scaling>
          <c:orientation val="minMax"/>
          <c:max val="8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4937"/>
        <c:crossesAt val="1"/>
        <c:crossBetween val="between"/>
        <c:dispUnits/>
      </c:valAx>
      <c:catAx>
        <c:axId val="6100579"/>
        <c:scaling>
          <c:orientation val="minMax"/>
        </c:scaling>
        <c:axPos val="b"/>
        <c:delete val="1"/>
        <c:majorTickMark val="in"/>
        <c:minorTickMark val="none"/>
        <c:tickLblPos val="nextTo"/>
        <c:crossAx val="54905212"/>
        <c:crosses val="autoZero"/>
        <c:auto val="1"/>
        <c:lblOffset val="100"/>
        <c:noMultiLvlLbl val="0"/>
      </c:catAx>
      <c:valAx>
        <c:axId val="54905212"/>
        <c:scaling>
          <c:orientation val="minMax"/>
          <c:min val="26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05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4"/>
          <c:w val="0.887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'2-1-4 貸切輸送量及平均輸送距離'!$C$18</c:f>
              <c:strCache>
                <c:ptCount val="1"/>
                <c:pt idx="0">
                  <c:v>輸送人員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貸切輸送量及平均輸送距離'!$C$19:$C$28</c:f>
              <c:numCache>
                <c:ptCount val="10"/>
                <c:pt idx="0">
                  <c:v>252.781</c:v>
                </c:pt>
                <c:pt idx="1">
                  <c:v>249.049</c:v>
                </c:pt>
                <c:pt idx="2">
                  <c:v>247.655</c:v>
                </c:pt>
                <c:pt idx="3">
                  <c:v>248.12</c:v>
                </c:pt>
                <c:pt idx="4">
                  <c:v>248.941</c:v>
                </c:pt>
                <c:pt idx="5">
                  <c:v>247.835</c:v>
                </c:pt>
                <c:pt idx="6">
                  <c:v>247.384</c:v>
                </c:pt>
                <c:pt idx="7">
                  <c:v>247.861</c:v>
                </c:pt>
                <c:pt idx="8">
                  <c:v>251.614</c:v>
                </c:pt>
                <c:pt idx="9">
                  <c:v>254.711</c:v>
                </c:pt>
              </c:numCache>
            </c:numRef>
          </c:val>
        </c:ser>
        <c:ser>
          <c:idx val="2"/>
          <c:order val="1"/>
          <c:tx>
            <c:strRef>
              <c:f>'2-1-4 貸切輸送量及平均輸送距離'!$D$18</c:f>
              <c:strCache>
                <c:ptCount val="1"/>
                <c:pt idx="0">
                  <c:v>DummyData1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貸切輸送量及平均輸送距離'!$D$19:$D$28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24384861"/>
        <c:axId val="18137158"/>
      </c:barChart>
      <c:barChart>
        <c:barDir val="col"/>
        <c:grouping val="clustered"/>
        <c:varyColors val="0"/>
        <c:ser>
          <c:idx val="0"/>
          <c:order val="2"/>
          <c:tx>
            <c:strRef>
              <c:f>'2-1-4 貸切輸送量及平均輸送距離'!$E$18</c:f>
              <c:strCache>
                <c:ptCount val="1"/>
                <c:pt idx="0">
                  <c:v>DummyData2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貸切輸送量及平均輸送距離'!$E$19:$E$28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'2-1-4 貸切輸送量及平均輸送距離'!$F$18</c:f>
              <c:strCache>
                <c:ptCount val="1"/>
                <c:pt idx="0">
                  <c:v>輸送人キロ</c:v>
                </c:pt>
              </c:strCache>
            </c:strRef>
          </c:tx>
          <c:spPr>
            <a:pattFill prst="wdDnDiag">
              <a:fgClr>
                <a:srgbClr val="33CCCC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貸切輸送量及平均輸送距離'!$F$19:$F$28</c:f>
              <c:numCache>
                <c:ptCount val="10"/>
                <c:pt idx="0">
                  <c:v>42167.312</c:v>
                </c:pt>
                <c:pt idx="1">
                  <c:v>43033.956</c:v>
                </c:pt>
                <c:pt idx="2">
                  <c:v>43076.529</c:v>
                </c:pt>
                <c:pt idx="3">
                  <c:v>42883.321</c:v>
                </c:pt>
                <c:pt idx="4">
                  <c:v>43275.585</c:v>
                </c:pt>
                <c:pt idx="5">
                  <c:v>43034.633</c:v>
                </c:pt>
                <c:pt idx="6">
                  <c:v>42811.686</c:v>
                </c:pt>
                <c:pt idx="7">
                  <c:v>42504.999</c:v>
                </c:pt>
                <c:pt idx="8">
                  <c:v>42836.939</c:v>
                </c:pt>
                <c:pt idx="9">
                  <c:v>42549.644</c:v>
                </c:pt>
              </c:numCache>
            </c:numRef>
          </c:val>
        </c:ser>
        <c:gapWidth val="100"/>
        <c:axId val="29016695"/>
        <c:axId val="59823664"/>
      </c:barChart>
      <c:lineChart>
        <c:grouping val="standard"/>
        <c:varyColors val="0"/>
        <c:ser>
          <c:idx val="4"/>
          <c:order val="4"/>
          <c:tx>
            <c:strRef>
              <c:f>'2-1-4 貸切輸送量及平均輸送距離'!$G$18</c:f>
              <c:strCache>
                <c:ptCount val="1"/>
                <c:pt idx="0">
                  <c:v>平均輸送距離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'2-1-4 貸切輸送量及平均輸送距離'!$B$19:$B$28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'2-1-4 貸切輸送量及平均輸送距離'!$G$19:$G$28</c:f>
              <c:numCache>
                <c:ptCount val="10"/>
                <c:pt idx="0">
                  <c:v>368.1361336492853</c:v>
                </c:pt>
                <c:pt idx="1">
                  <c:v>427.9312906295547</c:v>
                </c:pt>
                <c:pt idx="2">
                  <c:v>439.37651167955437</c:v>
                </c:pt>
                <c:pt idx="3">
                  <c:v>428.32988070288593</c:v>
                </c:pt>
                <c:pt idx="4">
                  <c:v>438.3872082139944</c:v>
                </c:pt>
                <c:pt idx="5">
                  <c:v>436.4227409365103</c:v>
                </c:pt>
                <c:pt idx="6">
                  <c:v>430.5761892442522</c:v>
                </c:pt>
                <c:pt idx="7">
                  <c:v>414.8724083256343</c:v>
                </c:pt>
                <c:pt idx="8">
                  <c:v>402.4863083930145</c:v>
                </c:pt>
                <c:pt idx="9">
                  <c:v>370.5067311580574</c:v>
                </c:pt>
              </c:numCache>
            </c:numRef>
          </c:val>
          <c:smooth val="0"/>
        </c:ser>
        <c:axId val="24384861"/>
        <c:axId val="18137158"/>
      </c:line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7158"/>
        <c:crosses val="autoZero"/>
        <c:auto val="0"/>
        <c:lblOffset val="100"/>
        <c:noMultiLvlLbl val="0"/>
      </c:catAx>
      <c:valAx>
        <c:axId val="1813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4861"/>
        <c:crossesAt val="1"/>
        <c:crossBetween val="between"/>
        <c:dispUnits/>
      </c:valAx>
      <c:catAx>
        <c:axId val="29016695"/>
        <c:scaling>
          <c:orientation val="minMax"/>
        </c:scaling>
        <c:axPos val="b"/>
        <c:delete val="1"/>
        <c:majorTickMark val="in"/>
        <c:minorTickMark val="none"/>
        <c:tickLblPos val="nextTo"/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  <c:max val="44000"/>
          <c:min val="4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166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525"/>
          <c:w val="0.86425"/>
          <c:h val="0.9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'ハイタク人ｷﾛ　実働　実車'!$C$23</c:f>
              <c:strCache>
                <c:ptCount val="1"/>
                <c:pt idx="0">
                  <c:v>輸送人キロの伸び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'ハイタク人ｷﾛ　実働　実車'!$B$24:$B$28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'ハイタク人ｷﾛ　実働　実車'!$C$24:$C$28</c:f>
              <c:numCache>
                <c:ptCount val="5"/>
                <c:pt idx="0">
                  <c:v>-3.8</c:v>
                </c:pt>
                <c:pt idx="1">
                  <c:v>-3.5</c:v>
                </c:pt>
                <c:pt idx="2">
                  <c:v>-3.697733128753228</c:v>
                </c:pt>
                <c:pt idx="3">
                  <c:v>-1.8525610080047272</c:v>
                </c:pt>
                <c:pt idx="4">
                  <c:v>-0.5191101986817444</c:v>
                </c:pt>
              </c:numCache>
            </c:numRef>
          </c:val>
        </c:ser>
        <c:axId val="1542065"/>
        <c:axId val="13878586"/>
      </c:barChart>
      <c:lineChart>
        <c:grouping val="standard"/>
        <c:varyColors val="0"/>
        <c:ser>
          <c:idx val="0"/>
          <c:order val="2"/>
          <c:tx>
            <c:strRef>
              <c:f>'ハイタク人ｷﾛ　実働　実車'!$E$23</c:f>
              <c:strCache>
                <c:ptCount val="1"/>
                <c:pt idx="0">
                  <c:v>実車率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'ハイタク人ｷﾛ　実働　実車'!$B$24:$B$28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'ハイタク人ｷﾛ　実働　実車'!$E$24:$E$28</c:f>
              <c:numCache>
                <c:ptCount val="5"/>
                <c:pt idx="0">
                  <c:v>-7.82</c:v>
                </c:pt>
                <c:pt idx="1">
                  <c:v>-8.600000000000001</c:v>
                </c:pt>
                <c:pt idx="2">
                  <c:v>-9.058877354207048</c:v>
                </c:pt>
                <c:pt idx="3">
                  <c:v>-7.45033567658291</c:v>
                </c:pt>
                <c:pt idx="4">
                  <c:v>-6.633956798284785</c:v>
                </c:pt>
              </c:numCache>
            </c:numRef>
          </c:val>
          <c:smooth val="0"/>
        </c:ser>
        <c:axId val="57798411"/>
        <c:axId val="50423652"/>
      </c:lineChart>
      <c:lineChart>
        <c:grouping val="standard"/>
        <c:varyColors val="0"/>
        <c:ser>
          <c:idx val="2"/>
          <c:order val="1"/>
          <c:tx>
            <c:strRef>
              <c:f>'ハイタク人ｷﾛ　実働　実車'!$D$23</c:f>
              <c:strCache>
                <c:ptCount val="1"/>
                <c:pt idx="0">
                  <c:v>実働率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'ハイタク人ｷﾛ　実働　実車'!$B$24:$B$28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'ハイタク人ｷﾛ　実働　実車'!$D$24:$D$28</c:f>
              <c:numCache>
                <c:ptCount val="5"/>
                <c:pt idx="0">
                  <c:v>6.599999999999909</c:v>
                </c:pt>
                <c:pt idx="1">
                  <c:v>1.3999999999999773</c:v>
                </c:pt>
                <c:pt idx="2">
                  <c:v>3.591815183327185</c:v>
                </c:pt>
                <c:pt idx="3">
                  <c:v>8.72753071729187</c:v>
                </c:pt>
                <c:pt idx="4">
                  <c:v>10.70798569150054</c:v>
                </c:pt>
              </c:numCache>
            </c:numRef>
          </c:val>
          <c:smooth val="0"/>
        </c:ser>
        <c:axId val="1542065"/>
        <c:axId val="13878586"/>
      </c:lineChart>
      <c:catAx>
        <c:axId val="1542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78586"/>
        <c:crosses val="autoZero"/>
        <c:auto val="0"/>
        <c:lblOffset val="100"/>
        <c:noMultiLvlLbl val="0"/>
      </c:catAx>
      <c:valAx>
        <c:axId val="13878586"/>
        <c:scaling>
          <c:orientation val="minMax"/>
          <c:max val="8"/>
          <c:min val="-10"/>
        </c:scaling>
        <c:axPos val="l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065"/>
        <c:crossesAt val="1"/>
        <c:crossBetween val="between"/>
        <c:dispUnits/>
        <c:majorUnit val="2"/>
        <c:minorUnit val="2"/>
      </c:valAx>
      <c:catAx>
        <c:axId val="57798411"/>
        <c:scaling>
          <c:orientation val="minMax"/>
        </c:scaling>
        <c:axPos val="b"/>
        <c:delete val="1"/>
        <c:majorTickMark val="in"/>
        <c:minorTickMark val="none"/>
        <c:tickLblPos val="nextTo"/>
        <c:crossAx val="50423652"/>
        <c:crosses val="autoZero"/>
        <c:auto val="0"/>
        <c:lblOffset val="100"/>
        <c:noMultiLvlLbl val="0"/>
      </c:catAx>
      <c:valAx>
        <c:axId val="50423652"/>
        <c:scaling>
          <c:orientation val="minMax"/>
        </c:scaling>
        <c:axPos val="l"/>
        <c:delete val="1"/>
        <c:majorTickMark val="in"/>
        <c:minorTickMark val="none"/>
        <c:tickLblPos val="nextTo"/>
        <c:crossAx val="57798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575"/>
          <c:w val="0.99825"/>
          <c:h val="0.9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'2-1-6 自家車人ｷﾛ　保有数　実働'!$C$3</c:f>
              <c:strCache>
                <c:ptCount val="1"/>
                <c:pt idx="0">
                  <c:v>輸送人員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'2-1-6 自家車人ｷﾛ　保有数　実働'!$B$4:$B$8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'2-1-6 自家車人ｷﾛ　保有数　実働'!$C$4:$C$8</c:f>
              <c:numCache>
                <c:ptCount val="5"/>
                <c:pt idx="0">
                  <c:v>2.1</c:v>
                </c:pt>
                <c:pt idx="1">
                  <c:v>0.2</c:v>
                </c:pt>
                <c:pt idx="2">
                  <c:v>2.3</c:v>
                </c:pt>
                <c:pt idx="3">
                  <c:v>0.19384508741219975</c:v>
                </c:pt>
                <c:pt idx="4">
                  <c:v>1.4430473286043792</c:v>
                </c:pt>
              </c:numCache>
            </c:numRef>
          </c:val>
        </c:ser>
        <c:ser>
          <c:idx val="2"/>
          <c:order val="1"/>
          <c:tx>
            <c:strRef>
              <c:f>'2-1-6 自家車人ｷﾛ　保有数　実働'!$D$3</c:f>
              <c:strCache>
                <c:ptCount val="1"/>
                <c:pt idx="0">
                  <c:v>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'2-1-6 自家車人ｷﾛ　保有数　実働'!$B$4:$B$8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'2-1-6 自家車人ｷﾛ　保有数　実働'!$D$4:$D$8</c:f>
              <c:numCache>
                <c:ptCount val="5"/>
                <c:pt idx="0">
                  <c:v>2.2</c:v>
                </c:pt>
                <c:pt idx="1">
                  <c:v>2</c:v>
                </c:pt>
                <c:pt idx="2">
                  <c:v>2</c:v>
                </c:pt>
                <c:pt idx="3">
                  <c:v>2.0832586133023483</c:v>
                </c:pt>
                <c:pt idx="4">
                  <c:v>-0.29343472617840405</c:v>
                </c:pt>
              </c:numCache>
            </c:numRef>
          </c:val>
        </c:ser>
        <c:axId val="51159685"/>
        <c:axId val="57783982"/>
      </c:barChart>
      <c:lineChart>
        <c:grouping val="standard"/>
        <c:varyColors val="0"/>
        <c:ser>
          <c:idx val="0"/>
          <c:order val="2"/>
          <c:tx>
            <c:strRef>
              <c:f>'2-1-6 自家車人ｷﾛ　保有数　実働'!$E$3</c:f>
              <c:strCache>
                <c:ptCount val="1"/>
                <c:pt idx="0">
                  <c:v>保有車両数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'2-1-6 自家車人ｷﾛ　保有数　実働'!$B$4:$B$8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'2-1-6 自家車人ｷﾛ　保有数　実働'!$E$4:$E$8</c:f>
              <c:numCache>
                <c:ptCount val="5"/>
                <c:pt idx="0">
                  <c:v>3.6</c:v>
                </c:pt>
                <c:pt idx="1">
                  <c:v>3.5</c:v>
                </c:pt>
                <c:pt idx="2">
                  <c:v>2</c:v>
                </c:pt>
                <c:pt idx="3">
                  <c:v>1.2</c:v>
                </c:pt>
                <c:pt idx="4">
                  <c:v>1.2</c:v>
                </c:pt>
              </c:numCache>
            </c:numRef>
          </c:val>
          <c:smooth val="0"/>
        </c:ser>
        <c:axId val="50293791"/>
        <c:axId val="49990936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7783982"/>
        <c:crosses val="autoZero"/>
        <c:auto val="0"/>
        <c:lblOffset val="100"/>
        <c:noMultiLvlLbl val="0"/>
      </c:catAx>
      <c:valAx>
        <c:axId val="57783982"/>
        <c:scaling>
          <c:orientation val="minMax"/>
          <c:max val="5"/>
        </c:scaling>
        <c:axPos val="l"/>
        <c:delete val="0"/>
        <c:numFmt formatCode="General" sourceLinked="1"/>
        <c:majorTickMark val="in"/>
        <c:minorTickMark val="none"/>
        <c:tickLblPos val="nextTo"/>
        <c:crossAx val="51159685"/>
        <c:crossesAt val="1"/>
        <c:crossBetween val="between"/>
        <c:dispUnits/>
        <c:majorUnit val="1"/>
      </c:valAx>
      <c:catAx>
        <c:axId val="50293791"/>
        <c:scaling>
          <c:orientation val="minMax"/>
        </c:scaling>
        <c:axPos val="b"/>
        <c:delete val="1"/>
        <c:majorTickMark val="in"/>
        <c:minorTickMark val="none"/>
        <c:tickLblPos val="nextTo"/>
        <c:crossAx val="49990936"/>
        <c:crosses val="autoZero"/>
        <c:auto val="0"/>
        <c:lblOffset val="100"/>
        <c:noMultiLvlLbl val="0"/>
      </c:catAx>
      <c:valAx>
        <c:axId val="49990936"/>
        <c:scaling>
          <c:orientation val="minMax"/>
        </c:scaling>
        <c:axPos val="l"/>
        <c:delete val="1"/>
        <c:majorTickMark val="in"/>
        <c:minorTickMark val="none"/>
        <c:tickLblPos val="nextTo"/>
        <c:crossAx val="50293791"/>
        <c:crossesAt val="1"/>
        <c:crossBetween val="between"/>
        <c:dispUnits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9125"/>
          <c:y val="0.09625"/>
          <c:w val="0.46325"/>
          <c:h val="0.1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"/>
          <c:w val="0.99975"/>
          <c:h val="0.99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'航空人ｷﾛ　輸送量　伸び率'!$C$3</c:f>
              <c:strCache>
                <c:ptCount val="1"/>
                <c:pt idx="0">
                  <c:v>幹線輸送人キロ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'航空人ｷﾛ　輸送量　伸び率'!$C$4:$C$8</c:f>
              <c:numCache>
                <c:ptCount val="5"/>
                <c:pt idx="0">
                  <c:v>-1.1</c:v>
                </c:pt>
                <c:pt idx="1">
                  <c:v>5.1</c:v>
                </c:pt>
                <c:pt idx="2">
                  <c:v>4.7</c:v>
                </c:pt>
                <c:pt idx="3">
                  <c:v>5.2974895545129925</c:v>
                </c:pt>
                <c:pt idx="4">
                  <c:v>7.382025759975392</c:v>
                </c:pt>
              </c:numCache>
            </c:numRef>
          </c:val>
        </c:ser>
        <c:ser>
          <c:idx val="3"/>
          <c:order val="1"/>
          <c:tx>
            <c:strRef>
              <c:f>'航空人ｷﾛ　輸送量　伸び率'!$D$3</c:f>
              <c:strCache>
                <c:ptCount val="1"/>
                <c:pt idx="0">
                  <c:v>ローカル線輸送人キロ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'航空人ｷﾛ　輸送量　伸び率'!$D$4:$D$8</c:f>
              <c:numCache>
                <c:ptCount val="5"/>
                <c:pt idx="0">
                  <c:v>2.2</c:v>
                </c:pt>
                <c:pt idx="1">
                  <c:v>9</c:v>
                </c:pt>
                <c:pt idx="2">
                  <c:v>7.1</c:v>
                </c:pt>
                <c:pt idx="3">
                  <c:v>6.853930257379687</c:v>
                </c:pt>
                <c:pt idx="4">
                  <c:v>5.136693187278382</c:v>
                </c:pt>
              </c:numCache>
            </c:numRef>
          </c:val>
        </c:ser>
        <c:axId val="47265241"/>
        <c:axId val="22733986"/>
      </c:barChart>
      <c:lineChart>
        <c:grouping val="standard"/>
        <c:varyColors val="0"/>
        <c:ser>
          <c:idx val="0"/>
          <c:order val="2"/>
          <c:tx>
            <c:strRef>
              <c:f>'航空人ｷﾛ　輸送量　伸び率'!$E$3</c:f>
              <c:strCache>
                <c:ptCount val="1"/>
                <c:pt idx="0">
                  <c:v>幹線輸送力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'航空人ｷﾛ　輸送量　伸び率'!$E$4:$E$8</c:f>
              <c:numCache>
                <c:ptCount val="5"/>
                <c:pt idx="0">
                  <c:v>3.1</c:v>
                </c:pt>
                <c:pt idx="1">
                  <c:v>6.9</c:v>
                </c:pt>
                <c:pt idx="2">
                  <c:v>6</c:v>
                </c:pt>
                <c:pt idx="3">
                  <c:v>1.2334243127110511</c:v>
                </c:pt>
                <c:pt idx="4">
                  <c:v>4.313928924799356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'航空人ｷﾛ　輸送量　伸び率'!$F$3</c:f>
              <c:strCache>
                <c:ptCount val="1"/>
                <c:pt idx="0">
                  <c:v>ﾛｰｶﾙ線輸送力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'航空人ｷﾛ　輸送量　伸び率'!$F$4:$F$8</c:f>
              <c:numCache>
                <c:ptCount val="5"/>
                <c:pt idx="0">
                  <c:v>8.2</c:v>
                </c:pt>
                <c:pt idx="1">
                  <c:v>9.1</c:v>
                </c:pt>
                <c:pt idx="2">
                  <c:v>7.5</c:v>
                </c:pt>
                <c:pt idx="3">
                  <c:v>5.195983518763157</c:v>
                </c:pt>
                <c:pt idx="4">
                  <c:v>4.7364326151268585</c:v>
                </c:pt>
              </c:numCache>
            </c:numRef>
          </c:val>
          <c:smooth val="0"/>
        </c:ser>
        <c:axId val="3279283"/>
        <c:axId val="29513548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2733986"/>
        <c:crosses val="autoZero"/>
        <c:auto val="0"/>
        <c:lblOffset val="100"/>
        <c:noMultiLvlLbl val="0"/>
      </c:catAx>
      <c:valAx>
        <c:axId val="2273398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47265241"/>
        <c:crossesAt val="1"/>
        <c:crossBetween val="between"/>
        <c:dispUnits/>
      </c:valAx>
      <c:catAx>
        <c:axId val="3279283"/>
        <c:scaling>
          <c:orientation val="minMax"/>
        </c:scaling>
        <c:axPos val="b"/>
        <c:delete val="1"/>
        <c:majorTickMark val="in"/>
        <c:minorTickMark val="none"/>
        <c:tickLblPos val="nextTo"/>
        <c:crossAx val="29513548"/>
        <c:crosses val="autoZero"/>
        <c:auto val="0"/>
        <c:lblOffset val="100"/>
        <c:noMultiLvlLbl val="0"/>
      </c:catAx>
      <c:valAx>
        <c:axId val="29513548"/>
        <c:scaling>
          <c:orientation val="minMax"/>
        </c:scaling>
        <c:axPos val="l"/>
        <c:delete val="1"/>
        <c:majorTickMark val="in"/>
        <c:minorTickMark val="none"/>
        <c:tickLblPos val="nextTo"/>
        <c:crossAx val="3279283"/>
        <c:crossesAt val="1"/>
        <c:crossBetween val="between"/>
        <c:dispUnits/>
      </c:valAx>
      <c:spPr>
        <a:noFill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225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"/>
          <c:w val="0.9967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'2-1-7　航空（改）'!$C$3</c:f>
              <c:strCache>
                <c:ptCount val="1"/>
                <c:pt idx="0">
                  <c:v>輸送人員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'2-1-7　航空（改）'!$B$4:$B$8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'2-1-7　航空（改）'!$C$4:$C$8</c:f>
              <c:numCache>
                <c:ptCount val="5"/>
                <c:pt idx="0">
                  <c:v>5.2</c:v>
                </c:pt>
                <c:pt idx="1">
                  <c:v>4.2</c:v>
                </c:pt>
                <c:pt idx="2">
                  <c:v>2.7520661479662607</c:v>
                </c:pt>
                <c:pt idx="3">
                  <c:v>4.1837515156383205</c:v>
                </c:pt>
                <c:pt idx="4">
                  <c:v>1.4015936287865571</c:v>
                </c:pt>
              </c:numCache>
            </c:numRef>
          </c:val>
        </c:ser>
        <c:ser>
          <c:idx val="2"/>
          <c:order val="1"/>
          <c:tx>
            <c:strRef>
              <c:f>'2-1-7　航空（改）'!$D$3</c:f>
              <c:strCache>
                <c:ptCount val="1"/>
                <c:pt idx="0">
                  <c:v>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'2-1-7　航空（改）'!$B$4:$B$8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'2-1-7　航空（改）'!$D$4:$D$8</c:f>
              <c:numCache>
                <c:ptCount val="5"/>
                <c:pt idx="0">
                  <c:v>6.2</c:v>
                </c:pt>
                <c:pt idx="1">
                  <c:v>6.1</c:v>
                </c:pt>
                <c:pt idx="2">
                  <c:v>3.7471149713222474</c:v>
                </c:pt>
                <c:pt idx="3">
                  <c:v>4.41860841555129</c:v>
                </c:pt>
                <c:pt idx="4">
                  <c:v>0.4408511312977481</c:v>
                </c:pt>
              </c:numCache>
            </c:numRef>
          </c:val>
        </c:ser>
        <c:axId val="64295341"/>
        <c:axId val="41787158"/>
      </c:barChart>
      <c:lineChart>
        <c:grouping val="standard"/>
        <c:varyColors val="0"/>
        <c:ser>
          <c:idx val="0"/>
          <c:order val="2"/>
          <c:tx>
            <c:strRef>
              <c:f>'2-1-7　航空（改）'!$E$3</c:f>
              <c:strCache>
                <c:ptCount val="1"/>
                <c:pt idx="0">
                  <c:v>輸送力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'2-1-7　航空（改）'!$B$4:$B$8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cat>
          <c:val>
            <c:numRef>
              <c:f>'2-1-7　航空（改）'!$E$4:$E$8</c:f>
              <c:numCache>
                <c:ptCount val="5"/>
                <c:pt idx="0">
                  <c:v>3.574957042045952</c:v>
                </c:pt>
                <c:pt idx="1">
                  <c:v>4.567499801115261</c:v>
                </c:pt>
                <c:pt idx="2">
                  <c:v>5.9108351082366255</c:v>
                </c:pt>
                <c:pt idx="3">
                  <c:v>1.1101217849060987</c:v>
                </c:pt>
                <c:pt idx="4">
                  <c:v>1.5150803380272038</c:v>
                </c:pt>
              </c:numCache>
            </c:numRef>
          </c:val>
          <c:smooth val="0"/>
        </c:ser>
        <c:axId val="40540103"/>
        <c:axId val="29316608"/>
      </c:line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1787158"/>
        <c:crosses val="autoZero"/>
        <c:auto val="0"/>
        <c:lblOffset val="100"/>
        <c:noMultiLvlLbl val="0"/>
      </c:catAx>
      <c:valAx>
        <c:axId val="41787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95341"/>
        <c:crossesAt val="1"/>
        <c:crossBetween val="between"/>
        <c:dispUnits/>
        <c:majorUnit val="2"/>
      </c:valAx>
      <c:catAx>
        <c:axId val="40540103"/>
        <c:scaling>
          <c:orientation val="minMax"/>
        </c:scaling>
        <c:axPos val="b"/>
        <c:delete val="1"/>
        <c:majorTickMark val="in"/>
        <c:minorTickMark val="none"/>
        <c:tickLblPos val="nextTo"/>
        <c:crossAx val="29316608"/>
        <c:crosses val="autoZero"/>
        <c:auto val="0"/>
        <c:lblOffset val="100"/>
        <c:noMultiLvlLbl val="0"/>
      </c:catAx>
      <c:valAx>
        <c:axId val="29316608"/>
        <c:scaling>
          <c:orientation val="minMax"/>
        </c:scaling>
        <c:axPos val="l"/>
        <c:delete val="1"/>
        <c:majorTickMark val="in"/>
        <c:minorTickMark val="none"/>
        <c:tickLblPos val="nextTo"/>
        <c:crossAx val="40540103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07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0.123</cdr:y>
    </cdr:from>
    <cdr:to>
      <cdr:x>0.086</cdr:x>
      <cdr:y>0.123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0" y="552450"/>
          <a:ext cx="447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0.0385</cdr:y>
    </cdr:from>
    <cdr:to>
      <cdr:x>0.08475</cdr:x>
      <cdr:y>0.068</cdr:y>
    </cdr:to>
    <cdr:sp>
      <cdr:nvSpPr>
        <cdr:cNvPr id="2" name="テキスト 25"/>
        <cdr:cNvSpPr txBox="1">
          <a:spLocks noChangeArrowheads="1"/>
        </cdr:cNvSpPr>
      </cdr:nvSpPr>
      <cdr:spPr>
        <a:xfrm>
          <a:off x="200025" y="171450"/>
          <a:ext cx="2381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ＪＲ</a:t>
          </a:r>
        </a:p>
      </cdr:txBody>
    </cdr:sp>
  </cdr:relSizeAnchor>
  <cdr:relSizeAnchor xmlns:cdr="http://schemas.openxmlformats.org/drawingml/2006/chartDrawing">
    <cdr:from>
      <cdr:x>0.0485</cdr:x>
      <cdr:y>0.059</cdr:y>
    </cdr:from>
    <cdr:to>
      <cdr:x>0.093</cdr:x>
      <cdr:y>0.12525</cdr:y>
    </cdr:to>
    <cdr:sp>
      <cdr:nvSpPr>
        <cdr:cNvPr id="3" name="Line 26"/>
        <cdr:cNvSpPr>
          <a:spLocks/>
        </cdr:cNvSpPr>
      </cdr:nvSpPr>
      <cdr:spPr>
        <a:xfrm>
          <a:off x="247650" y="266700"/>
          <a:ext cx="2286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0.03</cdr:y>
    </cdr:from>
    <cdr:to>
      <cdr:x>0.88125</cdr:x>
      <cdr:y>0.0615</cdr:y>
    </cdr:to>
    <cdr:sp>
      <cdr:nvSpPr>
        <cdr:cNvPr id="4" name="テキスト 27"/>
        <cdr:cNvSpPr txBox="1">
          <a:spLocks noChangeArrowheads="1"/>
        </cdr:cNvSpPr>
      </cdr:nvSpPr>
      <cdr:spPr>
        <a:xfrm>
          <a:off x="4038600" y="133350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軽自動車等</a:t>
          </a:r>
        </a:p>
      </cdr:txBody>
    </cdr:sp>
  </cdr:relSizeAnchor>
  <cdr:relSizeAnchor xmlns:cdr="http://schemas.openxmlformats.org/drawingml/2006/chartDrawing">
    <cdr:from>
      <cdr:x>0.56325</cdr:x>
      <cdr:y>0.01925</cdr:y>
    </cdr:from>
    <cdr:to>
      <cdr:x>0.715</cdr:x>
      <cdr:y>0.055</cdr:y>
    </cdr:to>
    <cdr:sp>
      <cdr:nvSpPr>
        <cdr:cNvPr id="5" name="テキスト 30"/>
        <cdr:cNvSpPr txBox="1">
          <a:spLocks noChangeArrowheads="1"/>
        </cdr:cNvSpPr>
      </cdr:nvSpPr>
      <cdr:spPr>
        <a:xfrm>
          <a:off x="2933700" y="85725"/>
          <a:ext cx="7905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自家用乗用車
</a:t>
          </a:r>
        </a:p>
      </cdr:txBody>
    </cdr:sp>
  </cdr:relSizeAnchor>
  <cdr:relSizeAnchor xmlns:cdr="http://schemas.openxmlformats.org/drawingml/2006/chartDrawing">
    <cdr:from>
      <cdr:x>0.6</cdr:x>
      <cdr:y>0.05125</cdr:y>
    </cdr:from>
    <cdr:to>
      <cdr:x>0.6035</cdr:x>
      <cdr:y>0.118</cdr:y>
    </cdr:to>
    <cdr:sp>
      <cdr:nvSpPr>
        <cdr:cNvPr id="6" name="Line 31"/>
        <cdr:cNvSpPr>
          <a:spLocks/>
        </cdr:cNvSpPr>
      </cdr:nvSpPr>
      <cdr:spPr>
        <a:xfrm flipH="1">
          <a:off x="3124200" y="228600"/>
          <a:ext cx="190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</cdr:x>
      <cdr:y>0.03</cdr:y>
    </cdr:from>
    <cdr:to>
      <cdr:x>0.15525</cdr:x>
      <cdr:y>0.0615</cdr:y>
    </cdr:to>
    <cdr:sp>
      <cdr:nvSpPr>
        <cdr:cNvPr id="7" name="テキスト 32"/>
        <cdr:cNvSpPr txBox="1">
          <a:spLocks noChangeArrowheads="1"/>
        </cdr:cNvSpPr>
      </cdr:nvSpPr>
      <cdr:spPr>
        <a:xfrm>
          <a:off x="476250" y="1333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民鉄
</a:t>
          </a:r>
        </a:p>
      </cdr:txBody>
    </cdr:sp>
  </cdr:relSizeAnchor>
  <cdr:relSizeAnchor xmlns:cdr="http://schemas.openxmlformats.org/drawingml/2006/chartDrawing">
    <cdr:from>
      <cdr:x>0.175</cdr:x>
      <cdr:y>0.05575</cdr:y>
    </cdr:from>
    <cdr:to>
      <cdr:x>0.29375</cdr:x>
      <cdr:y>0.08525</cdr:y>
    </cdr:to>
    <cdr:sp>
      <cdr:nvSpPr>
        <cdr:cNvPr id="8" name="テキスト 34"/>
        <cdr:cNvSpPr txBox="1">
          <a:spLocks noChangeArrowheads="1"/>
        </cdr:cNvSpPr>
      </cdr:nvSpPr>
      <cdr:spPr>
        <a:xfrm>
          <a:off x="904875" y="247650"/>
          <a:ext cx="6191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営業用バス
</a:t>
          </a:r>
        </a:p>
      </cdr:txBody>
    </cdr:sp>
  </cdr:relSizeAnchor>
  <cdr:relSizeAnchor xmlns:cdr="http://schemas.openxmlformats.org/drawingml/2006/chartDrawing">
    <cdr:from>
      <cdr:x>0.813</cdr:x>
      <cdr:y>0.0555</cdr:y>
    </cdr:from>
    <cdr:to>
      <cdr:x>0.8385</cdr:x>
      <cdr:y>0.12025</cdr:y>
    </cdr:to>
    <cdr:sp>
      <cdr:nvSpPr>
        <cdr:cNvPr id="9" name="Line 36"/>
        <cdr:cNvSpPr>
          <a:spLocks/>
        </cdr:cNvSpPr>
      </cdr:nvSpPr>
      <cdr:spPr>
        <a:xfrm>
          <a:off x="4229100" y="247650"/>
          <a:ext cx="1333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0.059</cdr:y>
    </cdr:from>
    <cdr:to>
      <cdr:x>0.235</cdr:x>
      <cdr:y>0.12025</cdr:y>
    </cdr:to>
    <cdr:sp>
      <cdr:nvSpPr>
        <cdr:cNvPr id="10" name="Line 37"/>
        <cdr:cNvSpPr>
          <a:spLocks/>
        </cdr:cNvSpPr>
      </cdr:nvSpPr>
      <cdr:spPr>
        <a:xfrm>
          <a:off x="571500" y="266700"/>
          <a:ext cx="6477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0.86775</cdr:x>
      <cdr:y>0.03</cdr:y>
    </cdr:from>
    <cdr:to>
      <cdr:x>0.9995</cdr:x>
      <cdr:y>0.06775</cdr:y>
    </cdr:to>
    <cdr:sp>
      <cdr:nvSpPr>
        <cdr:cNvPr id="11" name="テキスト 39"/>
        <cdr:cNvSpPr txBox="1">
          <a:spLocks noChangeArrowheads="1"/>
        </cdr:cNvSpPr>
      </cdr:nvSpPr>
      <cdr:spPr>
        <a:xfrm>
          <a:off x="4514850" y="133350"/>
          <a:ext cx="685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（営業用計）
</a:t>
          </a:r>
        </a:p>
      </cdr:txBody>
    </cdr:sp>
  </cdr:relSizeAnchor>
  <cdr:relSizeAnchor xmlns:cdr="http://schemas.openxmlformats.org/drawingml/2006/chartDrawing">
    <cdr:from>
      <cdr:x>0.88125</cdr:x>
      <cdr:y>0.07075</cdr:y>
    </cdr:from>
    <cdr:to>
      <cdr:x>0.9965</cdr:x>
      <cdr:y>0.10425</cdr:y>
    </cdr:to>
    <cdr:sp>
      <cdr:nvSpPr>
        <cdr:cNvPr id="12" name="テキスト 40"/>
        <cdr:cNvSpPr txBox="1">
          <a:spLocks noChangeArrowheads="1"/>
        </cdr:cNvSpPr>
      </cdr:nvSpPr>
      <cdr:spPr>
        <a:xfrm>
          <a:off x="4591050" y="314325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（自家用計）</a:t>
          </a:r>
        </a:p>
      </cdr:txBody>
    </cdr:sp>
  </cdr:relSizeAnchor>
  <cdr:relSizeAnchor xmlns:cdr="http://schemas.openxmlformats.org/drawingml/2006/chartDrawing">
    <cdr:from>
      <cdr:x>0.234</cdr:x>
      <cdr:y>0.07925</cdr:y>
    </cdr:from>
    <cdr:to>
      <cdr:x>0.3435</cdr:x>
      <cdr:y>0.13325</cdr:y>
    </cdr:to>
    <cdr:sp>
      <cdr:nvSpPr>
        <cdr:cNvPr id="13" name="Line 41"/>
        <cdr:cNvSpPr>
          <a:spLocks/>
        </cdr:cNvSpPr>
      </cdr:nvSpPr>
      <cdr:spPr>
        <a:xfrm>
          <a:off x="1209675" y="352425"/>
          <a:ext cx="5715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0.0085</cdr:y>
    </cdr:from>
    <cdr:to>
      <cdr:x>0.3305</cdr:x>
      <cdr:y>0.038</cdr:y>
    </cdr:to>
    <cdr:sp>
      <cdr:nvSpPr>
        <cdr:cNvPr id="14" name="テキスト 42"/>
        <cdr:cNvSpPr txBox="1">
          <a:spLocks noChangeArrowheads="1"/>
        </cdr:cNvSpPr>
      </cdr:nvSpPr>
      <cdr:spPr>
        <a:xfrm>
          <a:off x="1047750" y="38100"/>
          <a:ext cx="6667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営業用乗用車</a:t>
          </a:r>
        </a:p>
      </cdr:txBody>
    </cdr:sp>
  </cdr:relSizeAnchor>
  <cdr:relSizeAnchor xmlns:cdr="http://schemas.openxmlformats.org/drawingml/2006/chartDrawing">
    <cdr:from>
      <cdr:x>0.294</cdr:x>
      <cdr:y>0.0385</cdr:y>
    </cdr:from>
    <cdr:to>
      <cdr:x>0.3635</cdr:x>
      <cdr:y>0.072</cdr:y>
    </cdr:to>
    <cdr:sp>
      <cdr:nvSpPr>
        <cdr:cNvPr id="15" name="テキスト 45"/>
        <cdr:cNvSpPr txBox="1">
          <a:spLocks noChangeArrowheads="1"/>
        </cdr:cNvSpPr>
      </cdr:nvSpPr>
      <cdr:spPr>
        <a:xfrm>
          <a:off x="1524000" y="171450"/>
          <a:ext cx="3619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航空</a:t>
          </a:r>
        </a:p>
      </cdr:txBody>
    </cdr:sp>
  </cdr:relSizeAnchor>
  <cdr:relSizeAnchor xmlns:cdr="http://schemas.openxmlformats.org/drawingml/2006/chartDrawing">
    <cdr:from>
      <cdr:x>0.31625</cdr:x>
      <cdr:y>0.05575</cdr:y>
    </cdr:from>
    <cdr:to>
      <cdr:x>0.38375</cdr:x>
      <cdr:y>0.1275</cdr:y>
    </cdr:to>
    <cdr:sp>
      <cdr:nvSpPr>
        <cdr:cNvPr id="16" name="Line 46"/>
        <cdr:cNvSpPr>
          <a:spLocks/>
        </cdr:cNvSpPr>
      </cdr:nvSpPr>
      <cdr:spPr>
        <a:xfrm>
          <a:off x="1638300" y="247650"/>
          <a:ext cx="3524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0.0385</cdr:y>
    </cdr:from>
    <cdr:to>
      <cdr:x>0.36325</cdr:x>
      <cdr:y>0.12675</cdr:y>
    </cdr:to>
    <cdr:sp>
      <cdr:nvSpPr>
        <cdr:cNvPr id="17" name="Line 47"/>
        <cdr:cNvSpPr>
          <a:spLocks/>
        </cdr:cNvSpPr>
      </cdr:nvSpPr>
      <cdr:spPr>
        <a:xfrm>
          <a:off x="1352550" y="171450"/>
          <a:ext cx="533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0.02775</cdr:y>
    </cdr:from>
    <cdr:to>
      <cdr:x>0.4245</cdr:x>
      <cdr:y>0.05725</cdr:y>
    </cdr:to>
    <cdr:sp>
      <cdr:nvSpPr>
        <cdr:cNvPr id="18" name="テキスト 48"/>
        <cdr:cNvSpPr txBox="1">
          <a:spLocks noChangeArrowheads="1"/>
        </cdr:cNvSpPr>
      </cdr:nvSpPr>
      <cdr:spPr>
        <a:xfrm>
          <a:off x="1828800" y="123825"/>
          <a:ext cx="3810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旅客船</a:t>
          </a:r>
        </a:p>
      </cdr:txBody>
    </cdr:sp>
  </cdr:relSizeAnchor>
  <cdr:relSizeAnchor xmlns:cdr="http://schemas.openxmlformats.org/drawingml/2006/chartDrawing">
    <cdr:from>
      <cdr:x>0.38275</cdr:x>
      <cdr:y>0.047</cdr:y>
    </cdr:from>
    <cdr:to>
      <cdr:x>0.41275</cdr:x>
      <cdr:y>0.13025</cdr:y>
    </cdr:to>
    <cdr:sp>
      <cdr:nvSpPr>
        <cdr:cNvPr id="19" name="Line 49"/>
        <cdr:cNvSpPr>
          <a:spLocks/>
        </cdr:cNvSpPr>
      </cdr:nvSpPr>
      <cdr:spPr>
        <a:xfrm>
          <a:off x="1990725" y="209550"/>
          <a:ext cx="15240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0.0215</cdr:y>
    </cdr:from>
    <cdr:to>
      <cdr:x>0.5635</cdr:x>
      <cdr:y>0.055</cdr:y>
    </cdr:to>
    <cdr:sp>
      <cdr:nvSpPr>
        <cdr:cNvPr id="20" name="テキスト 50"/>
        <cdr:cNvSpPr txBox="1">
          <a:spLocks noChangeArrowheads="1"/>
        </cdr:cNvSpPr>
      </cdr:nvSpPr>
      <cdr:spPr>
        <a:xfrm>
          <a:off x="2352675" y="95250"/>
          <a:ext cx="581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自家用バス</a:t>
          </a:r>
        </a:p>
      </cdr:txBody>
    </cdr:sp>
  </cdr:relSizeAnchor>
  <cdr:relSizeAnchor xmlns:cdr="http://schemas.openxmlformats.org/drawingml/2006/chartDrawing">
    <cdr:from>
      <cdr:x>0.424</cdr:x>
      <cdr:y>0.0515</cdr:y>
    </cdr:from>
    <cdr:to>
      <cdr:x>0.48375</cdr:x>
      <cdr:y>0.13175</cdr:y>
    </cdr:to>
    <cdr:sp>
      <cdr:nvSpPr>
        <cdr:cNvPr id="21" name="Line 51"/>
        <cdr:cNvSpPr>
          <a:spLocks/>
        </cdr:cNvSpPr>
      </cdr:nvSpPr>
      <cdr:spPr>
        <a:xfrm flipH="1">
          <a:off x="2200275" y="228600"/>
          <a:ext cx="3143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0.10725</cdr:y>
    </cdr:from>
    <cdr:to>
      <cdr:x>0.0595</cdr:x>
      <cdr:y>0.1435</cdr:y>
    </cdr:to>
    <cdr:sp>
      <cdr:nvSpPr>
        <cdr:cNvPr id="22" name="テキスト 54"/>
        <cdr:cNvSpPr txBox="1">
          <a:spLocks noChangeArrowheads="1"/>
        </cdr:cNvSpPr>
      </cdr:nvSpPr>
      <cdr:spPr>
        <a:xfrm>
          <a:off x="0" y="485775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</cdr:x>
      <cdr:y>0.76225</cdr:y>
    </cdr:from>
    <cdr:to>
      <cdr:x>0.08525</cdr:x>
      <cdr:y>0.805</cdr:y>
    </cdr:to>
    <cdr:sp>
      <cdr:nvSpPr>
        <cdr:cNvPr id="23" name="テキスト 53"/>
        <cdr:cNvSpPr txBox="1">
          <a:spLocks noChangeArrowheads="1"/>
        </cdr:cNvSpPr>
      </cdr:nvSpPr>
      <cdr:spPr>
        <a:xfrm>
          <a:off x="0" y="34480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</cdr:x>
      <cdr:y>0.8935</cdr:y>
    </cdr:from>
    <cdr:to>
      <cdr:x>0.501</cdr:x>
      <cdr:y>0.95875</cdr:y>
    </cdr:to>
    <cdr:sp>
      <cdr:nvSpPr>
        <cdr:cNvPr id="24" name="テキスト 52"/>
        <cdr:cNvSpPr txBox="1">
          <a:spLocks noChangeArrowheads="1"/>
        </cdr:cNvSpPr>
      </cdr:nvSpPr>
      <cdr:spPr>
        <a:xfrm>
          <a:off x="0" y="4048125"/>
          <a:ext cx="26098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（１）国土交通省資料により作成
     （２）図中の数字は分担率を表す。</a:t>
          </a:r>
        </a:p>
      </cdr:txBody>
    </cdr:sp>
  </cdr:relSizeAnchor>
  <cdr:relSizeAnchor xmlns:cdr="http://schemas.openxmlformats.org/drawingml/2006/chartDrawing">
    <cdr:from>
      <cdr:x>0.91975</cdr:x>
      <cdr:y>0.71525</cdr:y>
    </cdr:from>
    <cdr:to>
      <cdr:x>0.991</cdr:x>
      <cdr:y>0.74325</cdr:y>
    </cdr:to>
    <cdr:sp>
      <cdr:nvSpPr>
        <cdr:cNvPr id="25" name="テキスト 27"/>
        <cdr:cNvSpPr txBox="1">
          <a:spLocks noChangeArrowheads="1"/>
        </cdr:cNvSpPr>
      </cdr:nvSpPr>
      <cdr:spPr>
        <a:xfrm>
          <a:off x="4791075" y="3238500"/>
          <a:ext cx="3714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(38.7)
</a:t>
          </a:r>
        </a:p>
      </cdr:txBody>
    </cdr:sp>
  </cdr:relSizeAnchor>
  <cdr:relSizeAnchor xmlns:cdr="http://schemas.openxmlformats.org/drawingml/2006/chartDrawing">
    <cdr:from>
      <cdr:x>0.91475</cdr:x>
      <cdr:y>0.74925</cdr:y>
    </cdr:from>
    <cdr:to>
      <cdr:x>0.996</cdr:x>
      <cdr:y>0.773</cdr:y>
    </cdr:to>
    <cdr:sp>
      <cdr:nvSpPr>
        <cdr:cNvPr id="26" name="テキスト 28"/>
        <cdr:cNvSpPr txBox="1">
          <a:spLocks noChangeArrowheads="1"/>
        </cdr:cNvSpPr>
      </cdr:nvSpPr>
      <cdr:spPr>
        <a:xfrm>
          <a:off x="4762500" y="3390900"/>
          <a:ext cx="4191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(61.3)
</a:t>
          </a:r>
        </a:p>
      </cdr:txBody>
    </cdr:sp>
  </cdr:relSizeAnchor>
  <cdr:relSizeAnchor xmlns:cdr="http://schemas.openxmlformats.org/drawingml/2006/chartDrawing">
    <cdr:from>
      <cdr:x>0.91975</cdr:x>
      <cdr:y>0.1325</cdr:y>
    </cdr:from>
    <cdr:to>
      <cdr:x>0.991</cdr:x>
      <cdr:y>0.1585</cdr:y>
    </cdr:to>
    <cdr:sp>
      <cdr:nvSpPr>
        <cdr:cNvPr id="27" name="テキスト 29"/>
        <cdr:cNvSpPr txBox="1">
          <a:spLocks noChangeArrowheads="1"/>
        </cdr:cNvSpPr>
      </cdr:nvSpPr>
      <cdr:spPr>
        <a:xfrm>
          <a:off x="4791075" y="600075"/>
          <a:ext cx="3714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(39.9)
</a:t>
          </a:r>
        </a:p>
      </cdr:txBody>
    </cdr:sp>
  </cdr:relSizeAnchor>
  <cdr:relSizeAnchor xmlns:cdr="http://schemas.openxmlformats.org/drawingml/2006/chartDrawing">
    <cdr:from>
      <cdr:x>0.918</cdr:x>
      <cdr:y>0.16725</cdr:y>
    </cdr:from>
    <cdr:to>
      <cdr:x>0.99425</cdr:x>
      <cdr:y>0.1925</cdr:y>
    </cdr:to>
    <cdr:sp>
      <cdr:nvSpPr>
        <cdr:cNvPr id="28" name="テキスト 30"/>
        <cdr:cNvSpPr txBox="1">
          <a:spLocks noChangeArrowheads="1"/>
        </cdr:cNvSpPr>
      </cdr:nvSpPr>
      <cdr:spPr>
        <a:xfrm>
          <a:off x="4781550" y="752475"/>
          <a:ext cx="4000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(60.1)
</a:t>
          </a:r>
        </a:p>
      </cdr:txBody>
    </cdr:sp>
  </cdr:relSizeAnchor>
  <cdr:relSizeAnchor xmlns:cdr="http://schemas.openxmlformats.org/drawingml/2006/chartDrawing">
    <cdr:from>
      <cdr:x>0.918</cdr:x>
      <cdr:y>0.278</cdr:y>
    </cdr:from>
    <cdr:to>
      <cdr:x>0.99425</cdr:x>
      <cdr:y>0.30775</cdr:y>
    </cdr:to>
    <cdr:sp>
      <cdr:nvSpPr>
        <cdr:cNvPr id="29" name="テキスト 31"/>
        <cdr:cNvSpPr txBox="1">
          <a:spLocks noChangeArrowheads="1"/>
        </cdr:cNvSpPr>
      </cdr:nvSpPr>
      <cdr:spPr>
        <a:xfrm>
          <a:off x="4781550" y="1257300"/>
          <a:ext cx="400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(39.3)
</a:t>
          </a:r>
        </a:p>
      </cdr:txBody>
    </cdr:sp>
  </cdr:relSizeAnchor>
  <cdr:relSizeAnchor xmlns:cdr="http://schemas.openxmlformats.org/drawingml/2006/chartDrawing">
    <cdr:from>
      <cdr:x>0.9105</cdr:x>
      <cdr:y>0.3105</cdr:y>
    </cdr:from>
    <cdr:to>
      <cdr:x>1</cdr:x>
      <cdr:y>0.33875</cdr:y>
    </cdr:to>
    <cdr:sp>
      <cdr:nvSpPr>
        <cdr:cNvPr id="30" name="テキスト 32"/>
        <cdr:cNvSpPr txBox="1">
          <a:spLocks noChangeArrowheads="1"/>
        </cdr:cNvSpPr>
      </cdr:nvSpPr>
      <cdr:spPr>
        <a:xfrm>
          <a:off x="4743450" y="1400175"/>
          <a:ext cx="4667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(60.7)</a:t>
          </a:r>
        </a:p>
      </cdr:txBody>
    </cdr:sp>
  </cdr:relSizeAnchor>
  <cdr:relSizeAnchor xmlns:cdr="http://schemas.openxmlformats.org/drawingml/2006/chartDrawing">
    <cdr:from>
      <cdr:x>0.913</cdr:x>
      <cdr:y>0.41775</cdr:y>
    </cdr:from>
    <cdr:to>
      <cdr:x>0.99875</cdr:x>
      <cdr:y>0.44375</cdr:y>
    </cdr:to>
    <cdr:sp>
      <cdr:nvSpPr>
        <cdr:cNvPr id="31" name="テキスト 33"/>
        <cdr:cNvSpPr txBox="1">
          <a:spLocks noChangeArrowheads="1"/>
        </cdr:cNvSpPr>
      </cdr:nvSpPr>
      <cdr:spPr>
        <a:xfrm>
          <a:off x="4752975" y="1885950"/>
          <a:ext cx="4476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(38.8)
</a:t>
          </a:r>
        </a:p>
      </cdr:txBody>
    </cdr:sp>
  </cdr:relSizeAnchor>
  <cdr:relSizeAnchor xmlns:cdr="http://schemas.openxmlformats.org/drawingml/2006/chartDrawing">
    <cdr:from>
      <cdr:x>0.9165</cdr:x>
      <cdr:y>0.45375</cdr:y>
    </cdr:from>
    <cdr:to>
      <cdr:x>0.99275</cdr:x>
      <cdr:y>0.48425</cdr:y>
    </cdr:to>
    <cdr:sp>
      <cdr:nvSpPr>
        <cdr:cNvPr id="32" name="テキスト 34"/>
        <cdr:cNvSpPr txBox="1">
          <a:spLocks noChangeArrowheads="1"/>
        </cdr:cNvSpPr>
      </cdr:nvSpPr>
      <cdr:spPr>
        <a:xfrm>
          <a:off x="4772025" y="2047875"/>
          <a:ext cx="4000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(61.2)</a:t>
          </a:r>
        </a:p>
      </cdr:txBody>
    </cdr:sp>
  </cdr:relSizeAnchor>
  <cdr:relSizeAnchor xmlns:cdr="http://schemas.openxmlformats.org/drawingml/2006/chartDrawing">
    <cdr:from>
      <cdr:x>0.91975</cdr:x>
      <cdr:y>0.56325</cdr:y>
    </cdr:from>
    <cdr:to>
      <cdr:x>0.99275</cdr:x>
      <cdr:y>0.5915</cdr:y>
    </cdr:to>
    <cdr:sp>
      <cdr:nvSpPr>
        <cdr:cNvPr id="33" name="テキスト 41"/>
        <cdr:cNvSpPr txBox="1">
          <a:spLocks noChangeArrowheads="1"/>
        </cdr:cNvSpPr>
      </cdr:nvSpPr>
      <cdr:spPr>
        <a:xfrm>
          <a:off x="4791075" y="2552700"/>
          <a:ext cx="3810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(38.6)</a:t>
          </a:r>
        </a:p>
      </cdr:txBody>
    </cdr:sp>
  </cdr:relSizeAnchor>
  <cdr:relSizeAnchor xmlns:cdr="http://schemas.openxmlformats.org/drawingml/2006/chartDrawing">
    <cdr:from>
      <cdr:x>0.918</cdr:x>
      <cdr:y>0.59725</cdr:y>
    </cdr:from>
    <cdr:to>
      <cdr:x>0.99425</cdr:x>
      <cdr:y>0.62475</cdr:y>
    </cdr:to>
    <cdr:sp>
      <cdr:nvSpPr>
        <cdr:cNvPr id="34" name="テキスト 42"/>
        <cdr:cNvSpPr txBox="1">
          <a:spLocks noChangeArrowheads="1"/>
        </cdr:cNvSpPr>
      </cdr:nvSpPr>
      <cdr:spPr>
        <a:xfrm>
          <a:off x="4781550" y="2705100"/>
          <a:ext cx="4000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(61.4)</a:t>
          </a:r>
        </a:p>
      </cdr:txBody>
    </cdr:sp>
  </cdr:relSizeAnchor>
  <cdr:relSizeAnchor xmlns:cdr="http://schemas.openxmlformats.org/drawingml/2006/chartDrawing">
    <cdr:from>
      <cdr:x>0.33425</cdr:x>
      <cdr:y>0.1905</cdr:y>
    </cdr:from>
    <cdr:to>
      <cdr:x>0.359</cdr:x>
      <cdr:y>0.218</cdr:y>
    </cdr:to>
    <cdr:sp>
      <cdr:nvSpPr>
        <cdr:cNvPr id="35" name="Line 145"/>
        <cdr:cNvSpPr>
          <a:spLocks/>
        </cdr:cNvSpPr>
      </cdr:nvSpPr>
      <cdr:spPr>
        <a:xfrm flipH="1">
          <a:off x="1733550" y="857250"/>
          <a:ext cx="1333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0.29575</cdr:x>
      <cdr:y>0.7905</cdr:y>
    </cdr:from>
    <cdr:to>
      <cdr:x>0.33675</cdr:x>
      <cdr:y>0.81775</cdr:y>
    </cdr:to>
    <cdr:sp>
      <cdr:nvSpPr>
        <cdr:cNvPr id="36" name="テキスト 3"/>
        <cdr:cNvSpPr txBox="1">
          <a:spLocks noChangeArrowheads="1"/>
        </cdr:cNvSpPr>
      </cdr:nvSpPr>
      <cdr:spPr>
        <a:xfrm>
          <a:off x="1533525" y="3581400"/>
          <a:ext cx="2095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0.346</cdr:x>
      <cdr:y>0.7925</cdr:y>
    </cdr:from>
    <cdr:to>
      <cdr:x>0.38725</cdr:x>
      <cdr:y>0.8175</cdr:y>
    </cdr:to>
    <cdr:sp>
      <cdr:nvSpPr>
        <cdr:cNvPr id="37" name="テキスト 5"/>
        <cdr:cNvSpPr txBox="1">
          <a:spLocks noChangeArrowheads="1"/>
        </cdr:cNvSpPr>
      </cdr:nvSpPr>
      <cdr:spPr>
        <a:xfrm>
          <a:off x="1800225" y="3590925"/>
          <a:ext cx="2190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5.6</a:t>
          </a:r>
        </a:p>
      </cdr:txBody>
    </cdr:sp>
  </cdr:relSizeAnchor>
  <cdr:relSizeAnchor xmlns:cdr="http://schemas.openxmlformats.org/drawingml/2006/chartDrawing">
    <cdr:from>
      <cdr:x>0.40675</cdr:x>
      <cdr:y>0.1905</cdr:y>
    </cdr:from>
    <cdr:to>
      <cdr:x>0.42125</cdr:x>
      <cdr:y>0.22875</cdr:y>
    </cdr:to>
    <cdr:sp>
      <cdr:nvSpPr>
        <cdr:cNvPr id="38" name="Line 148"/>
        <cdr:cNvSpPr>
          <a:spLocks/>
        </cdr:cNvSpPr>
      </cdr:nvSpPr>
      <cdr:spPr>
        <a:xfrm>
          <a:off x="2114550" y="857250"/>
          <a:ext cx="76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0.7925</cdr:y>
    </cdr:from>
    <cdr:to>
      <cdr:x>0.43675</cdr:x>
      <cdr:y>0.816</cdr:y>
    </cdr:to>
    <cdr:sp>
      <cdr:nvSpPr>
        <cdr:cNvPr id="39" name="テキスト 7"/>
        <cdr:cNvSpPr txBox="1">
          <a:spLocks noChangeArrowheads="1"/>
        </cdr:cNvSpPr>
      </cdr:nvSpPr>
      <cdr:spPr>
        <a:xfrm>
          <a:off x="2076450" y="3590925"/>
          <a:ext cx="1905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0.3</a:t>
          </a:r>
        </a:p>
      </cdr:txBody>
    </cdr:sp>
  </cdr:relSizeAnchor>
  <cdr:relSizeAnchor xmlns:cdr="http://schemas.openxmlformats.org/drawingml/2006/chartDrawing">
    <cdr:from>
      <cdr:x>0.44025</cdr:x>
      <cdr:y>0.7905</cdr:y>
    </cdr:from>
    <cdr:to>
      <cdr:x>0.47875</cdr:x>
      <cdr:y>0.81625</cdr:y>
    </cdr:to>
    <cdr:sp>
      <cdr:nvSpPr>
        <cdr:cNvPr id="40" name="テキスト 9"/>
        <cdr:cNvSpPr txBox="1">
          <a:spLocks noChangeArrowheads="1"/>
        </cdr:cNvSpPr>
      </cdr:nvSpPr>
      <cdr:spPr>
        <a:xfrm>
          <a:off x="2286000" y="358140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1.3</a:t>
          </a:r>
        </a:p>
      </cdr:txBody>
    </cdr:sp>
  </cdr:relSizeAnchor>
  <cdr:relSizeAnchor xmlns:cdr="http://schemas.openxmlformats.org/drawingml/2006/chartDrawing">
    <cdr:from>
      <cdr:x>0.32725</cdr:x>
      <cdr:y>0.32575</cdr:y>
    </cdr:from>
    <cdr:to>
      <cdr:x>0.35125</cdr:x>
      <cdr:y>0.36625</cdr:y>
    </cdr:to>
    <cdr:sp>
      <cdr:nvSpPr>
        <cdr:cNvPr id="41" name="Line 151"/>
        <cdr:cNvSpPr>
          <a:spLocks/>
        </cdr:cNvSpPr>
      </cdr:nvSpPr>
      <cdr:spPr>
        <a:xfrm flipH="1">
          <a:off x="1704975" y="1476375"/>
          <a:ext cx="1238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0.2245</cdr:y>
    </cdr:from>
    <cdr:to>
      <cdr:x>0.35725</cdr:x>
      <cdr:y>0.24825</cdr:y>
    </cdr:to>
    <cdr:sp>
      <cdr:nvSpPr>
        <cdr:cNvPr id="42" name="テキスト 12"/>
        <cdr:cNvSpPr txBox="1">
          <a:spLocks noChangeArrowheads="1"/>
        </cdr:cNvSpPr>
      </cdr:nvSpPr>
      <cdr:spPr>
        <a:xfrm>
          <a:off x="1638300" y="1009650"/>
          <a:ext cx="2190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0.37525</cdr:x>
      <cdr:y>0.2245</cdr:y>
    </cdr:from>
    <cdr:to>
      <cdr:x>0.41625</cdr:x>
      <cdr:y>0.24825</cdr:y>
    </cdr:to>
    <cdr:sp>
      <cdr:nvSpPr>
        <cdr:cNvPr id="43" name="テキスト 13"/>
        <cdr:cNvSpPr txBox="1">
          <a:spLocks noChangeArrowheads="1"/>
        </cdr:cNvSpPr>
      </cdr:nvSpPr>
      <cdr:spPr>
        <a:xfrm>
          <a:off x="1952625" y="1009650"/>
          <a:ext cx="20955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4.9</a:t>
          </a:r>
        </a:p>
      </cdr:txBody>
    </cdr:sp>
  </cdr:relSizeAnchor>
  <cdr:relSizeAnchor xmlns:cdr="http://schemas.openxmlformats.org/drawingml/2006/chartDrawing">
    <cdr:from>
      <cdr:x>0.40175</cdr:x>
      <cdr:y>0.3215</cdr:y>
    </cdr:from>
    <cdr:to>
      <cdr:x>0.4505</cdr:x>
      <cdr:y>0.37925</cdr:y>
    </cdr:to>
    <cdr:sp>
      <cdr:nvSpPr>
        <cdr:cNvPr id="44" name="Line 154"/>
        <cdr:cNvSpPr>
          <a:spLocks/>
        </cdr:cNvSpPr>
      </cdr:nvSpPr>
      <cdr:spPr>
        <a:xfrm>
          <a:off x="2085975" y="1457325"/>
          <a:ext cx="2571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0.22875</cdr:y>
    </cdr:from>
    <cdr:to>
      <cdr:x>0.471</cdr:x>
      <cdr:y>0.25475</cdr:y>
    </cdr:to>
    <cdr:sp>
      <cdr:nvSpPr>
        <cdr:cNvPr id="45" name="テキスト 16"/>
        <cdr:cNvSpPr txBox="1">
          <a:spLocks noChangeArrowheads="1"/>
        </cdr:cNvSpPr>
      </cdr:nvSpPr>
      <cdr:spPr>
        <a:xfrm>
          <a:off x="2200275" y="1028700"/>
          <a:ext cx="2476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0.4</a:t>
          </a:r>
        </a:p>
      </cdr:txBody>
    </cdr:sp>
  </cdr:relSizeAnchor>
  <cdr:relSizeAnchor xmlns:cdr="http://schemas.openxmlformats.org/drawingml/2006/chartDrawing">
    <cdr:from>
      <cdr:x>0.465</cdr:x>
      <cdr:y>0.2165</cdr:y>
    </cdr:from>
    <cdr:to>
      <cdr:x>0.506</cdr:x>
      <cdr:y>0.23975</cdr:y>
    </cdr:to>
    <cdr:sp>
      <cdr:nvSpPr>
        <cdr:cNvPr id="46" name="テキスト 18"/>
        <cdr:cNvSpPr txBox="1">
          <a:spLocks noChangeArrowheads="1"/>
        </cdr:cNvSpPr>
      </cdr:nvSpPr>
      <cdr:spPr>
        <a:xfrm>
          <a:off x="2419350" y="981075"/>
          <a:ext cx="2095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1.6</a:t>
          </a:r>
        </a:p>
      </cdr:txBody>
    </cdr:sp>
  </cdr:relSizeAnchor>
  <cdr:relSizeAnchor xmlns:cdr="http://schemas.openxmlformats.org/drawingml/2006/chartDrawing">
    <cdr:from>
      <cdr:x>0.318</cdr:x>
      <cdr:y>0.4625</cdr:y>
    </cdr:from>
    <cdr:to>
      <cdr:x>0.34775</cdr:x>
      <cdr:y>0.51175</cdr:y>
    </cdr:to>
    <cdr:sp>
      <cdr:nvSpPr>
        <cdr:cNvPr id="47" name="Line 157"/>
        <cdr:cNvSpPr>
          <a:spLocks/>
        </cdr:cNvSpPr>
      </cdr:nvSpPr>
      <cdr:spPr>
        <a:xfrm flipH="1">
          <a:off x="1647825" y="2095500"/>
          <a:ext cx="152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0.37075</cdr:y>
    </cdr:from>
    <cdr:to>
      <cdr:x>0.353</cdr:x>
      <cdr:y>0.39675</cdr:y>
    </cdr:to>
    <cdr:sp>
      <cdr:nvSpPr>
        <cdr:cNvPr id="48" name="テキスト 20"/>
        <cdr:cNvSpPr txBox="1">
          <a:spLocks noChangeArrowheads="1"/>
        </cdr:cNvSpPr>
      </cdr:nvSpPr>
      <cdr:spPr>
        <a:xfrm>
          <a:off x="1638300" y="167640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0.3735</cdr:x>
      <cdr:y>0.375</cdr:y>
    </cdr:from>
    <cdr:to>
      <cdr:x>0.412</cdr:x>
      <cdr:y>0.401</cdr:y>
    </cdr:to>
    <cdr:sp>
      <cdr:nvSpPr>
        <cdr:cNvPr id="49" name="テキスト 22"/>
        <cdr:cNvSpPr txBox="1">
          <a:spLocks noChangeArrowheads="1"/>
        </cdr:cNvSpPr>
      </cdr:nvSpPr>
      <cdr:spPr>
        <a:xfrm>
          <a:off x="1943100" y="169545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5.2</a:t>
          </a:r>
        </a:p>
      </cdr:txBody>
    </cdr:sp>
  </cdr:relSizeAnchor>
  <cdr:relSizeAnchor xmlns:cdr="http://schemas.openxmlformats.org/drawingml/2006/chartDrawing">
    <cdr:from>
      <cdr:x>0.4</cdr:x>
      <cdr:y>0.488</cdr:y>
    </cdr:from>
    <cdr:to>
      <cdr:x>0.43325</cdr:x>
      <cdr:y>0.524</cdr:y>
    </cdr:to>
    <cdr:sp>
      <cdr:nvSpPr>
        <cdr:cNvPr id="50" name="Line 160"/>
        <cdr:cNvSpPr>
          <a:spLocks/>
        </cdr:cNvSpPr>
      </cdr:nvSpPr>
      <cdr:spPr>
        <a:xfrm>
          <a:off x="2076450" y="2209800"/>
          <a:ext cx="1714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0.3765</cdr:y>
    </cdr:from>
    <cdr:to>
      <cdr:x>0.4905</cdr:x>
      <cdr:y>0.4025</cdr:y>
    </cdr:to>
    <cdr:sp>
      <cdr:nvSpPr>
        <cdr:cNvPr id="51" name="テキスト 24"/>
        <cdr:cNvSpPr txBox="1">
          <a:spLocks noChangeArrowheads="1"/>
        </cdr:cNvSpPr>
      </cdr:nvSpPr>
      <cdr:spPr>
        <a:xfrm>
          <a:off x="2362200" y="1704975"/>
          <a:ext cx="1905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0.4</a:t>
          </a:r>
        </a:p>
      </cdr:txBody>
    </cdr:sp>
  </cdr:relSizeAnchor>
  <cdr:relSizeAnchor xmlns:cdr="http://schemas.openxmlformats.org/drawingml/2006/chartDrawing">
    <cdr:from>
      <cdr:x>0.5205</cdr:x>
      <cdr:y>0.37275</cdr:y>
    </cdr:from>
    <cdr:to>
      <cdr:x>0.56325</cdr:x>
      <cdr:y>0.39875</cdr:y>
    </cdr:to>
    <cdr:sp>
      <cdr:nvSpPr>
        <cdr:cNvPr id="52" name="テキスト 26"/>
        <cdr:cNvSpPr txBox="1">
          <a:spLocks noChangeArrowheads="1"/>
        </cdr:cNvSpPr>
      </cdr:nvSpPr>
      <cdr:spPr>
        <a:xfrm>
          <a:off x="2705100" y="1685925"/>
          <a:ext cx="2190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1.5</a:t>
          </a:r>
        </a:p>
      </cdr:txBody>
    </cdr:sp>
  </cdr:relSizeAnchor>
  <cdr:relSizeAnchor xmlns:cdr="http://schemas.openxmlformats.org/drawingml/2006/chartDrawing">
    <cdr:from>
      <cdr:x>0.42225</cdr:x>
      <cdr:y>0.20125</cdr:y>
    </cdr:from>
    <cdr:to>
      <cdr:x>0.4615</cdr:x>
      <cdr:y>0.218</cdr:y>
    </cdr:to>
    <cdr:sp>
      <cdr:nvSpPr>
        <cdr:cNvPr id="53" name="Line 163"/>
        <cdr:cNvSpPr>
          <a:spLocks/>
        </cdr:cNvSpPr>
      </cdr:nvSpPr>
      <cdr:spPr>
        <a:xfrm>
          <a:off x="2190750" y="904875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0.1795</cdr:y>
    </cdr:from>
    <cdr:to>
      <cdr:x>0.38725</cdr:x>
      <cdr:y>0.22225</cdr:y>
    </cdr:to>
    <cdr:sp>
      <cdr:nvSpPr>
        <cdr:cNvPr id="54" name="Line 164"/>
        <cdr:cNvSpPr>
          <a:spLocks/>
        </cdr:cNvSpPr>
      </cdr:nvSpPr>
      <cdr:spPr>
        <a:xfrm flipH="1">
          <a:off x="2009775" y="809625"/>
          <a:ext cx="95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0.32725</cdr:y>
    </cdr:from>
    <cdr:to>
      <cdr:x>0.512</cdr:x>
      <cdr:y>0.37</cdr:y>
    </cdr:to>
    <cdr:sp>
      <cdr:nvSpPr>
        <cdr:cNvPr id="55" name="Line 165"/>
        <cdr:cNvSpPr>
          <a:spLocks/>
        </cdr:cNvSpPr>
      </cdr:nvSpPr>
      <cdr:spPr>
        <a:xfrm>
          <a:off x="2143125" y="1476375"/>
          <a:ext cx="5143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0.32725</cdr:y>
    </cdr:from>
    <cdr:to>
      <cdr:x>0.38125</cdr:x>
      <cdr:y>0.3655</cdr:y>
    </cdr:to>
    <cdr:sp>
      <cdr:nvSpPr>
        <cdr:cNvPr id="56" name="Line 166"/>
        <cdr:cNvSpPr>
          <a:spLocks/>
        </cdr:cNvSpPr>
      </cdr:nvSpPr>
      <cdr:spPr>
        <a:xfrm>
          <a:off x="1971675" y="1476375"/>
          <a:ext cx="95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0.47125</cdr:y>
    </cdr:from>
    <cdr:to>
      <cdr:x>0.4625</cdr:x>
      <cdr:y>0.514</cdr:y>
    </cdr:to>
    <cdr:sp>
      <cdr:nvSpPr>
        <cdr:cNvPr id="57" name="Line 167"/>
        <cdr:cNvSpPr>
          <a:spLocks/>
        </cdr:cNvSpPr>
      </cdr:nvSpPr>
      <cdr:spPr>
        <a:xfrm>
          <a:off x="2095500" y="2133600"/>
          <a:ext cx="3048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0.4605</cdr:y>
    </cdr:from>
    <cdr:to>
      <cdr:x>0.37775</cdr:x>
      <cdr:y>0.5125</cdr:y>
    </cdr:to>
    <cdr:sp>
      <cdr:nvSpPr>
        <cdr:cNvPr id="58" name="Line 168"/>
        <cdr:cNvSpPr>
          <a:spLocks/>
        </cdr:cNvSpPr>
      </cdr:nvSpPr>
      <cdr:spPr>
        <a:xfrm flipH="1">
          <a:off x="1924050" y="2085975"/>
          <a:ext cx="381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0.51175</cdr:y>
    </cdr:from>
    <cdr:to>
      <cdr:x>0.34775</cdr:x>
      <cdr:y>0.53925</cdr:y>
    </cdr:to>
    <cdr:sp>
      <cdr:nvSpPr>
        <cdr:cNvPr id="59" name="テキスト 43"/>
        <cdr:cNvSpPr txBox="1">
          <a:spLocks noChangeArrowheads="1"/>
        </cdr:cNvSpPr>
      </cdr:nvSpPr>
      <cdr:spPr>
        <a:xfrm>
          <a:off x="1600200" y="2314575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0.35475</cdr:x>
      <cdr:y>0.514</cdr:y>
    </cdr:from>
    <cdr:to>
      <cdr:x>0.394</cdr:x>
      <cdr:y>0.54225</cdr:y>
    </cdr:to>
    <cdr:sp>
      <cdr:nvSpPr>
        <cdr:cNvPr id="60" name="テキスト 44"/>
        <cdr:cNvSpPr txBox="1">
          <a:spLocks noChangeArrowheads="1"/>
        </cdr:cNvSpPr>
      </cdr:nvSpPr>
      <cdr:spPr>
        <a:xfrm>
          <a:off x="1847850" y="232410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5.3</a:t>
          </a:r>
        </a:p>
      </cdr:txBody>
    </cdr:sp>
  </cdr:relSizeAnchor>
  <cdr:relSizeAnchor xmlns:cdr="http://schemas.openxmlformats.org/drawingml/2006/chartDrawing">
    <cdr:from>
      <cdr:x>0.31625</cdr:x>
      <cdr:y>0.60575</cdr:y>
    </cdr:from>
    <cdr:to>
      <cdr:x>0.346</cdr:x>
      <cdr:y>0.66025</cdr:y>
    </cdr:to>
    <cdr:sp>
      <cdr:nvSpPr>
        <cdr:cNvPr id="61" name="Line 171"/>
        <cdr:cNvSpPr>
          <a:spLocks/>
        </cdr:cNvSpPr>
      </cdr:nvSpPr>
      <cdr:spPr>
        <a:xfrm flipV="1">
          <a:off x="1638300" y="2743200"/>
          <a:ext cx="1524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0.37175</cdr:x>
      <cdr:y>0.60575</cdr:y>
    </cdr:from>
    <cdr:to>
      <cdr:x>0.37425</cdr:x>
      <cdr:y>0.658</cdr:y>
    </cdr:to>
    <cdr:sp>
      <cdr:nvSpPr>
        <cdr:cNvPr id="62" name="Line 172"/>
        <cdr:cNvSpPr>
          <a:spLocks/>
        </cdr:cNvSpPr>
      </cdr:nvSpPr>
      <cdr:spPr>
        <a:xfrm flipH="1" flipV="1">
          <a:off x="1933575" y="2743200"/>
          <a:ext cx="95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0.6125</cdr:y>
    </cdr:from>
    <cdr:to>
      <cdr:x>0.4435</cdr:x>
      <cdr:y>0.666</cdr:y>
    </cdr:to>
    <cdr:sp>
      <cdr:nvSpPr>
        <cdr:cNvPr id="63" name="Line 173"/>
        <cdr:cNvSpPr>
          <a:spLocks/>
        </cdr:cNvSpPr>
      </cdr:nvSpPr>
      <cdr:spPr>
        <a:xfrm>
          <a:off x="2066925" y="2771775"/>
          <a:ext cx="2381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0.52925</cdr:y>
    </cdr:from>
    <cdr:to>
      <cdr:x>0.46575</cdr:x>
      <cdr:y>0.553</cdr:y>
    </cdr:to>
    <cdr:sp>
      <cdr:nvSpPr>
        <cdr:cNvPr id="64" name="テキスト 48"/>
        <cdr:cNvSpPr txBox="1">
          <a:spLocks noChangeArrowheads="1"/>
        </cdr:cNvSpPr>
      </cdr:nvSpPr>
      <cdr:spPr>
        <a:xfrm>
          <a:off x="2219325" y="2390775"/>
          <a:ext cx="20002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0.3</a:t>
          </a:r>
        </a:p>
      </cdr:txBody>
    </cdr:sp>
  </cdr:relSizeAnchor>
  <cdr:relSizeAnchor xmlns:cdr="http://schemas.openxmlformats.org/drawingml/2006/chartDrawing">
    <cdr:from>
      <cdr:x>0.47</cdr:x>
      <cdr:y>0.51175</cdr:y>
    </cdr:from>
    <cdr:to>
      <cdr:x>0.50675</cdr:x>
      <cdr:y>0.535</cdr:y>
    </cdr:to>
    <cdr:sp>
      <cdr:nvSpPr>
        <cdr:cNvPr id="65" name="テキスト 49"/>
        <cdr:cNvSpPr txBox="1">
          <a:spLocks noChangeArrowheads="1"/>
        </cdr:cNvSpPr>
      </cdr:nvSpPr>
      <cdr:spPr>
        <a:xfrm>
          <a:off x="2447925" y="2314575"/>
          <a:ext cx="1905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0.405</cdr:x>
      <cdr:y>0.61025</cdr:y>
    </cdr:from>
    <cdr:to>
      <cdr:x>0.483</cdr:x>
      <cdr:y>0.65725</cdr:y>
    </cdr:to>
    <cdr:sp>
      <cdr:nvSpPr>
        <cdr:cNvPr id="66" name="Line 176"/>
        <cdr:cNvSpPr>
          <a:spLocks/>
        </cdr:cNvSpPr>
      </cdr:nvSpPr>
      <cdr:spPr>
        <a:xfrm>
          <a:off x="2105025" y="2762250"/>
          <a:ext cx="4095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0.6595</cdr:y>
    </cdr:from>
    <cdr:to>
      <cdr:x>0.34175</cdr:x>
      <cdr:y>0.6825</cdr:y>
    </cdr:to>
    <cdr:sp>
      <cdr:nvSpPr>
        <cdr:cNvPr id="67" name="テキスト 51"/>
        <cdr:cNvSpPr txBox="1">
          <a:spLocks noChangeArrowheads="1"/>
        </cdr:cNvSpPr>
      </cdr:nvSpPr>
      <cdr:spPr>
        <a:xfrm>
          <a:off x="1571625" y="2981325"/>
          <a:ext cx="2000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0.3145</cdr:x>
      <cdr:y>0.76425</cdr:y>
    </cdr:from>
    <cdr:to>
      <cdr:x>0.346</cdr:x>
      <cdr:y>0.7925</cdr:y>
    </cdr:to>
    <cdr:sp>
      <cdr:nvSpPr>
        <cdr:cNvPr id="68" name="Line 178"/>
        <cdr:cNvSpPr>
          <a:spLocks/>
        </cdr:cNvSpPr>
      </cdr:nvSpPr>
      <cdr:spPr>
        <a:xfrm flipH="1">
          <a:off x="1638300" y="3457575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0.3665</cdr:x>
      <cdr:y>0.655</cdr:y>
    </cdr:from>
    <cdr:to>
      <cdr:x>0.405</cdr:x>
      <cdr:y>0.67825</cdr:y>
    </cdr:to>
    <cdr:sp>
      <cdr:nvSpPr>
        <cdr:cNvPr id="69" name="テキスト 53"/>
        <cdr:cNvSpPr txBox="1">
          <a:spLocks noChangeArrowheads="1"/>
        </cdr:cNvSpPr>
      </cdr:nvSpPr>
      <cdr:spPr>
        <a:xfrm>
          <a:off x="1905000" y="2962275"/>
          <a:ext cx="2000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5.6</a:t>
          </a:r>
        </a:p>
      </cdr:txBody>
    </cdr:sp>
  </cdr:relSizeAnchor>
  <cdr:relSizeAnchor xmlns:cdr="http://schemas.openxmlformats.org/drawingml/2006/chartDrawing">
    <cdr:from>
      <cdr:x>0.36825</cdr:x>
      <cdr:y>0.76</cdr:y>
    </cdr:from>
    <cdr:to>
      <cdr:x>0.3785</cdr:x>
      <cdr:y>0.7925</cdr:y>
    </cdr:to>
    <cdr:sp>
      <cdr:nvSpPr>
        <cdr:cNvPr id="70" name="Line 180"/>
        <cdr:cNvSpPr>
          <a:spLocks/>
        </cdr:cNvSpPr>
      </cdr:nvSpPr>
      <cdr:spPr>
        <a:xfrm flipV="1">
          <a:off x="1914525" y="3438525"/>
          <a:ext cx="571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0.43675</cdr:x>
      <cdr:y>0.668</cdr:y>
    </cdr:from>
    <cdr:to>
      <cdr:x>0.476</cdr:x>
      <cdr:y>0.692</cdr:y>
    </cdr:to>
    <cdr:sp>
      <cdr:nvSpPr>
        <cdr:cNvPr id="71" name="テキスト 55"/>
        <cdr:cNvSpPr txBox="1">
          <a:spLocks noChangeArrowheads="1"/>
        </cdr:cNvSpPr>
      </cdr:nvSpPr>
      <cdr:spPr>
        <a:xfrm>
          <a:off x="2266950" y="3019425"/>
          <a:ext cx="2000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0.3</a:t>
          </a:r>
        </a:p>
      </cdr:txBody>
    </cdr:sp>
  </cdr:relSizeAnchor>
  <cdr:relSizeAnchor xmlns:cdr="http://schemas.openxmlformats.org/drawingml/2006/chartDrawing">
    <cdr:from>
      <cdr:x>0.40175</cdr:x>
      <cdr:y>0.75125</cdr:y>
    </cdr:from>
    <cdr:to>
      <cdr:x>0.417</cdr:x>
      <cdr:y>0.799</cdr:y>
    </cdr:to>
    <cdr:sp>
      <cdr:nvSpPr>
        <cdr:cNvPr id="72" name="Line 182"/>
        <cdr:cNvSpPr>
          <a:spLocks/>
        </cdr:cNvSpPr>
      </cdr:nvSpPr>
      <cdr:spPr>
        <a:xfrm>
          <a:off x="2085975" y="3400425"/>
          <a:ext cx="762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0.6615</cdr:y>
    </cdr:from>
    <cdr:to>
      <cdr:x>0.53</cdr:x>
      <cdr:y>0.687</cdr:y>
    </cdr:to>
    <cdr:sp>
      <cdr:nvSpPr>
        <cdr:cNvPr id="73" name="テキスト 57"/>
        <cdr:cNvSpPr txBox="1">
          <a:spLocks noChangeArrowheads="1"/>
        </cdr:cNvSpPr>
      </cdr:nvSpPr>
      <cdr:spPr>
        <a:xfrm>
          <a:off x="2533650" y="2990850"/>
          <a:ext cx="219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0.411</cdr:x>
      <cdr:y>0.75575</cdr:y>
    </cdr:from>
    <cdr:to>
      <cdr:x>0.4445</cdr:x>
      <cdr:y>0.79625</cdr:y>
    </cdr:to>
    <cdr:sp>
      <cdr:nvSpPr>
        <cdr:cNvPr id="74" name="Line 184"/>
        <cdr:cNvSpPr>
          <a:spLocks/>
        </cdr:cNvSpPr>
      </cdr:nvSpPr>
      <cdr:spPr>
        <a:xfrm>
          <a:off x="2133600" y="3419475"/>
          <a:ext cx="1714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10</xdr:row>
      <xdr:rowOff>47625</xdr:rowOff>
    </xdr:from>
    <xdr:to>
      <xdr:col>14</xdr:col>
      <xdr:colOff>619125</xdr:colOff>
      <xdr:row>29</xdr:row>
      <xdr:rowOff>76200</xdr:rowOff>
    </xdr:to>
    <xdr:graphicFrame>
      <xdr:nvGraphicFramePr>
        <xdr:cNvPr id="1" name="Chart 4"/>
        <xdr:cNvGraphicFramePr/>
      </xdr:nvGraphicFramePr>
      <xdr:xfrm>
        <a:off x="5981700" y="1447800"/>
        <a:ext cx="55340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0.218</cdr:y>
    </cdr:from>
    <cdr:to>
      <cdr:x>0.02475</cdr:x>
      <cdr:y>0.22725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133350" y="666750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対前年度伸び率</a:t>
          </a:r>
        </a:p>
      </cdr:txBody>
    </cdr:sp>
  </cdr:relSizeAnchor>
  <cdr:relSizeAnchor xmlns:cdr="http://schemas.openxmlformats.org/drawingml/2006/chartDrawing">
    <cdr:from>
      <cdr:x>0.918</cdr:x>
      <cdr:y>0.9</cdr:y>
    </cdr:from>
    <cdr:to>
      <cdr:x>0.91975</cdr:x>
      <cdr:y>0.90925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5324475" y="27527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0.111</cdr:x>
      <cdr:y>0.92925</cdr:y>
    </cdr:from>
    <cdr:to>
      <cdr:x>0.11275</cdr:x>
      <cdr:y>0.9385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38175" y="284797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注　（１）　運輸省「航空輸送統計年報」により作成
　　 （２）　幹　　　線：東京（成田、羽田）、大阪（伊丹、関西）、札幌、福岡、沖縄を結ぶ路線
　　　　　   ローカル線：幹線以外の路線</a:t>
          </a:r>
        </a:p>
      </cdr:txBody>
    </cdr:sp>
  </cdr:relSizeAnchor>
  <cdr:relSizeAnchor xmlns:cdr="http://schemas.openxmlformats.org/drawingml/2006/chartDrawing">
    <cdr:from>
      <cdr:x>0.0565</cdr:x>
      <cdr:y>0.00125</cdr:y>
    </cdr:from>
    <cdr:to>
      <cdr:x>0.05825</cdr:x>
      <cdr:y>0.0105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323850" y="0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0.1695</cdr:x>
      <cdr:y>0.20525</cdr:y>
    </cdr:from>
    <cdr:to>
      <cdr:x>0.17125</cdr:x>
      <cdr:y>0.2145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981075" y="628650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幹線輸送力</a:t>
          </a:r>
        </a:p>
      </cdr:txBody>
    </cdr:sp>
  </cdr:relSizeAnchor>
  <cdr:relSizeAnchor xmlns:cdr="http://schemas.openxmlformats.org/drawingml/2006/chartDrawing">
    <cdr:from>
      <cdr:x>0.3625</cdr:x>
      <cdr:y>0.06625</cdr:y>
    </cdr:from>
    <cdr:to>
      <cdr:x>0.36425</cdr:x>
      <cdr:y>0.0755</cdr:y>
    </cdr:to>
    <cdr:sp>
      <cdr:nvSpPr>
        <cdr:cNvPr id="6" name="テキスト 8"/>
        <cdr:cNvSpPr txBox="1">
          <a:spLocks noChangeArrowheads="1"/>
        </cdr:cNvSpPr>
      </cdr:nvSpPr>
      <cdr:spPr>
        <a:xfrm>
          <a:off x="2105025" y="2000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ローカル線輸送力</a:t>
          </a:r>
        </a:p>
      </cdr:txBody>
    </cdr:sp>
  </cdr:relSizeAnchor>
  <cdr:relSizeAnchor xmlns:cdr="http://schemas.openxmlformats.org/drawingml/2006/chartDrawing">
    <cdr:from>
      <cdr:x>0.21925</cdr:x>
      <cdr:y>0.3225</cdr:y>
    </cdr:from>
    <cdr:to>
      <cdr:x>0.26175</cdr:x>
      <cdr:y>0.36375</cdr:y>
    </cdr:to>
    <cdr:sp>
      <cdr:nvSpPr>
        <cdr:cNvPr id="7" name="Line 9"/>
        <cdr:cNvSpPr>
          <a:spLocks/>
        </cdr:cNvSpPr>
      </cdr:nvSpPr>
      <cdr:spPr>
        <a:xfrm>
          <a:off x="1266825" y="981075"/>
          <a:ext cx="2476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0.2495</cdr:x>
      <cdr:y>0.094</cdr:y>
    </cdr:from>
    <cdr:to>
      <cdr:x>0.32575</cdr:x>
      <cdr:y>0.1725</cdr:y>
    </cdr:to>
    <cdr:sp>
      <cdr:nvSpPr>
        <cdr:cNvPr id="8" name="Line 10"/>
        <cdr:cNvSpPr>
          <a:spLocks/>
        </cdr:cNvSpPr>
      </cdr:nvSpPr>
      <cdr:spPr>
        <a:xfrm flipV="1">
          <a:off x="1447800" y="285750"/>
          <a:ext cx="447675" cy="238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0.13725</cdr:x>
      <cdr:y>0.2905</cdr:y>
    </cdr:from>
    <cdr:to>
      <cdr:x>0.139</cdr:x>
      <cdr:y>0.29975</cdr:y>
    </cdr:to>
    <cdr:sp>
      <cdr:nvSpPr>
        <cdr:cNvPr id="9" name="テキスト 11"/>
        <cdr:cNvSpPr txBox="1">
          <a:spLocks noChangeArrowheads="1"/>
        </cdr:cNvSpPr>
      </cdr:nvSpPr>
      <cdr:spPr>
        <a:xfrm>
          <a:off x="790575" y="8858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幹線輸送力</a:t>
          </a:r>
        </a:p>
      </cdr:txBody>
    </cdr:sp>
  </cdr:relSizeAnchor>
  <cdr:relSizeAnchor xmlns:cdr="http://schemas.openxmlformats.org/drawingml/2006/chartDrawing">
    <cdr:from>
      <cdr:x>0.1355</cdr:x>
      <cdr:y>0.1725</cdr:y>
    </cdr:from>
    <cdr:to>
      <cdr:x>0.13725</cdr:x>
      <cdr:y>0.18175</cdr:y>
    </cdr:to>
    <cdr:sp>
      <cdr:nvSpPr>
        <cdr:cNvPr id="10" name="テキスト 12"/>
        <cdr:cNvSpPr txBox="1">
          <a:spLocks noChangeArrowheads="1"/>
        </cdr:cNvSpPr>
      </cdr:nvSpPr>
      <cdr:spPr>
        <a:xfrm>
          <a:off x="781050" y="52387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ローカル線輸送力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9</xdr:row>
      <xdr:rowOff>0</xdr:rowOff>
    </xdr:from>
    <xdr:to>
      <xdr:col>7</xdr:col>
      <xdr:colOff>428625</xdr:colOff>
      <xdr:row>26</xdr:row>
      <xdr:rowOff>123825</xdr:rowOff>
    </xdr:to>
    <xdr:graphicFrame>
      <xdr:nvGraphicFramePr>
        <xdr:cNvPr id="1" name="Chart 4"/>
        <xdr:cNvGraphicFramePr/>
      </xdr:nvGraphicFramePr>
      <xdr:xfrm>
        <a:off x="676275" y="1590675"/>
        <a:ext cx="5810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0.89775</cdr:x>
      <cdr:y>0.9365</cdr:y>
    </cdr:from>
    <cdr:to>
      <cdr:x>0.9785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600700" y="2733675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0.032</cdr:x>
      <cdr:y>-0.00725</cdr:y>
    </cdr:from>
    <cdr:to>
      <cdr:x>0.11725</cdr:x>
      <cdr:y>0.06125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90500" y="-19049"/>
          <a:ext cx="533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0.0445</cdr:x>
      <cdr:y>0.94175</cdr:y>
    </cdr:from>
    <cdr:to>
      <cdr:x>0.53225</cdr:x>
      <cdr:y>0.997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76225" y="2752725"/>
          <a:ext cx="3048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運輸省「航空輸送統計年報」により作成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66675</xdr:rowOff>
    </xdr:from>
    <xdr:to>
      <xdr:col>11</xdr:col>
      <xdr:colOff>238125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047750" y="1647825"/>
        <a:ext cx="6248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66675</xdr:rowOff>
    </xdr:from>
    <xdr:to>
      <xdr:col>8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76225" y="1409700"/>
        <a:ext cx="52101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428625</xdr:colOff>
      <xdr:row>17</xdr:row>
      <xdr:rowOff>47625</xdr:rowOff>
    </xdr:from>
    <xdr:to>
      <xdr:col>57</xdr:col>
      <xdr:colOff>428625</xdr:colOff>
      <xdr:row>18</xdr:row>
      <xdr:rowOff>0</xdr:rowOff>
    </xdr:to>
    <xdr:sp>
      <xdr:nvSpPr>
        <xdr:cNvPr id="2" name="Line 60"/>
        <xdr:cNvSpPr>
          <a:spLocks/>
        </xdr:cNvSpPr>
      </xdr:nvSpPr>
      <xdr:spPr>
        <a:xfrm flipV="1">
          <a:off x="40957500" y="2352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428625</xdr:colOff>
      <xdr:row>17</xdr:row>
      <xdr:rowOff>47625</xdr:rowOff>
    </xdr:from>
    <xdr:to>
      <xdr:col>58</xdr:col>
      <xdr:colOff>390525</xdr:colOff>
      <xdr:row>17</xdr:row>
      <xdr:rowOff>47625</xdr:rowOff>
    </xdr:to>
    <xdr:sp>
      <xdr:nvSpPr>
        <xdr:cNvPr id="3" name="Line 61"/>
        <xdr:cNvSpPr>
          <a:spLocks/>
        </xdr:cNvSpPr>
      </xdr:nvSpPr>
      <xdr:spPr>
        <a:xfrm>
          <a:off x="40957500" y="23526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390525</xdr:colOff>
      <xdr:row>17</xdr:row>
      <xdr:rowOff>47625</xdr:rowOff>
    </xdr:from>
    <xdr:to>
      <xdr:col>58</xdr:col>
      <xdr:colOff>390525</xdr:colOff>
      <xdr:row>17</xdr:row>
      <xdr:rowOff>133350</xdr:rowOff>
    </xdr:to>
    <xdr:sp>
      <xdr:nvSpPr>
        <xdr:cNvPr id="4" name="Line 62"/>
        <xdr:cNvSpPr>
          <a:spLocks/>
        </xdr:cNvSpPr>
      </xdr:nvSpPr>
      <xdr:spPr>
        <a:xfrm>
          <a:off x="41767125" y="23526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0.948</cdr:y>
    </cdr:from>
    <cdr:to>
      <cdr:x>0.84925</cdr:x>
      <cdr:y>0.99475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52850" y="4238625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0.001</cdr:x>
      <cdr:y>-0.00325</cdr:y>
    </cdr:from>
    <cdr:to>
      <cdr:x>0.1365</cdr:x>
      <cdr:y>0.03725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-9524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（百万人）</a:t>
          </a:r>
        </a:p>
      </cdr:txBody>
    </cdr:sp>
  </cdr:relSizeAnchor>
  <cdr:relSizeAnchor xmlns:cdr="http://schemas.openxmlformats.org/drawingml/2006/chartDrawing">
    <cdr:from>
      <cdr:x>0.00025</cdr:x>
      <cdr:y>0.355</cdr:y>
    </cdr:from>
    <cdr:to>
      <cdr:x>0.0345</cdr:x>
      <cdr:y>0.4975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581150"/>
          <a:ext cx="17145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0.004</cdr:x>
      <cdr:y>0.95075</cdr:y>
    </cdr:from>
    <cdr:to>
      <cdr:x>0.62625</cdr:x>
      <cdr:y>0.99325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19050" y="4248150"/>
          <a:ext cx="3105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国土交通省「自動車輸送統計年報」により作成</a:t>
          </a:r>
        </a:p>
      </cdr:txBody>
    </cdr:sp>
  </cdr:relSizeAnchor>
  <cdr:relSizeAnchor xmlns:cdr="http://schemas.openxmlformats.org/drawingml/2006/chartDrawing">
    <cdr:from>
      <cdr:x>0.69</cdr:x>
      <cdr:y>-0.0085</cdr:y>
    </cdr:from>
    <cdr:to>
      <cdr:x>0.90375</cdr:x>
      <cdr:y>0.02775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3438525" y="-28574"/>
          <a:ext cx="1066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（百万人キロ）
</a:t>
          </a:r>
        </a:p>
      </cdr:txBody>
    </cdr:sp>
  </cdr:relSizeAnchor>
  <cdr:relSizeAnchor xmlns:cdr="http://schemas.openxmlformats.org/drawingml/2006/chartDrawing">
    <cdr:from>
      <cdr:x>0.001</cdr:x>
      <cdr:y>0.05075</cdr:y>
    </cdr:from>
    <cdr:to>
      <cdr:x>0.00675</cdr:x>
      <cdr:y>0.055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0" y="21907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0.93875</cdr:x>
      <cdr:y>0.2265</cdr:y>
    </cdr:from>
    <cdr:to>
      <cdr:x>0.96925</cdr:x>
      <cdr:y>0.39675</cdr:y>
    </cdr:to>
    <cdr:sp>
      <cdr:nvSpPr>
        <cdr:cNvPr id="7" name="テキスト 13"/>
        <cdr:cNvSpPr txBox="1">
          <a:spLocks noChangeArrowheads="1"/>
        </cdr:cNvSpPr>
      </cdr:nvSpPr>
      <cdr:spPr>
        <a:xfrm>
          <a:off x="4676775" y="1009650"/>
          <a:ext cx="1524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
</a:t>
          </a:r>
        </a:p>
      </cdr:txBody>
    </cdr:sp>
  </cdr:relSizeAnchor>
  <cdr:relSizeAnchor xmlns:cdr="http://schemas.openxmlformats.org/drawingml/2006/chartDrawing">
    <cdr:from>
      <cdr:x>0.24</cdr:x>
      <cdr:y>0.09725</cdr:y>
    </cdr:from>
    <cdr:to>
      <cdr:x>0.3945</cdr:x>
      <cdr:y>0.1355</cdr:y>
    </cdr:to>
    <cdr:sp>
      <cdr:nvSpPr>
        <cdr:cNvPr id="8" name="テキスト 14"/>
        <cdr:cNvSpPr txBox="1">
          <a:spLocks noChangeArrowheads="1"/>
        </cdr:cNvSpPr>
      </cdr:nvSpPr>
      <cdr:spPr>
        <a:xfrm>
          <a:off x="1190625" y="428625"/>
          <a:ext cx="771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平均輸送距離</a:t>
          </a:r>
        </a:p>
      </cdr:txBody>
    </cdr:sp>
  </cdr:relSizeAnchor>
  <cdr:relSizeAnchor xmlns:cdr="http://schemas.openxmlformats.org/drawingml/2006/chartDrawing">
    <cdr:from>
      <cdr:x>0.4915</cdr:x>
      <cdr:y>0.31125</cdr:y>
    </cdr:from>
    <cdr:to>
      <cdr:x>0.514</cdr:x>
      <cdr:y>0.34025</cdr:y>
    </cdr:to>
    <cdr:sp>
      <cdr:nvSpPr>
        <cdr:cNvPr id="9" name="Rectangle 14"/>
        <cdr:cNvSpPr>
          <a:spLocks/>
        </cdr:cNvSpPr>
      </cdr:nvSpPr>
      <cdr:spPr>
        <a:xfrm>
          <a:off x="2447925" y="1390650"/>
          <a:ext cx="114300" cy="133350"/>
        </a:xfrm>
        <a:prstGeom prst="rect">
          <a:avLst/>
        </a:prstGeom>
        <a:pattFill prst="pct10">
          <a:fgClr>
            <a:srgbClr val="000000"/>
          </a:fgClr>
          <a:bgClr>
            <a:srgbClr val="E3E3E3"/>
          </a:bgClr>
        </a:pattFill>
        <a:ln w="1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0.49375</cdr:x>
      <cdr:y>0.35325</cdr:y>
    </cdr:from>
    <cdr:to>
      <cdr:x>0.515</cdr:x>
      <cdr:y>0.38375</cdr:y>
    </cdr:to>
    <cdr:sp>
      <cdr:nvSpPr>
        <cdr:cNvPr id="10" name="Rectangle 15"/>
        <cdr:cNvSpPr>
          <a:spLocks/>
        </cdr:cNvSpPr>
      </cdr:nvSpPr>
      <cdr:spPr>
        <a:xfrm>
          <a:off x="2457450" y="1581150"/>
          <a:ext cx="104775" cy="133350"/>
        </a:xfrm>
        <a:prstGeom prst="rect">
          <a:avLst/>
        </a:prstGeom>
        <a:pattFill prst="ltDnDiag">
          <a:fgClr>
            <a:srgbClr val="69FFFF"/>
          </a:fgClr>
          <a:bgClr>
            <a:srgbClr val="00CCFF"/>
          </a:bgClr>
        </a:pattFill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0.31225</cdr:y>
    </cdr:from>
    <cdr:to>
      <cdr:x>0.6865</cdr:x>
      <cdr:y>0.34625</cdr:y>
    </cdr:to>
    <cdr:sp>
      <cdr:nvSpPr>
        <cdr:cNvPr id="11" name="テキスト 19"/>
        <cdr:cNvSpPr txBox="1">
          <a:spLocks noChangeArrowheads="1"/>
        </cdr:cNvSpPr>
      </cdr:nvSpPr>
      <cdr:spPr>
        <a:xfrm>
          <a:off x="2619375" y="1390650"/>
          <a:ext cx="800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0.74</cdr:x>
      <cdr:y>0.10225</cdr:y>
    </cdr:from>
    <cdr:to>
      <cdr:x>0.84875</cdr:x>
      <cdr:y>0.13625</cdr:y>
    </cdr:to>
    <cdr:sp>
      <cdr:nvSpPr>
        <cdr:cNvPr id="12" name="テキスト 22"/>
        <cdr:cNvSpPr txBox="1">
          <a:spLocks noChangeArrowheads="1"/>
        </cdr:cNvSpPr>
      </cdr:nvSpPr>
      <cdr:spPr>
        <a:xfrm>
          <a:off x="3686175" y="457200"/>
          <a:ext cx="542925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（キロ）</a:t>
          </a:r>
        </a:p>
      </cdr:txBody>
    </cdr:sp>
  </cdr:relSizeAnchor>
  <cdr:relSizeAnchor xmlns:cdr="http://schemas.openxmlformats.org/drawingml/2006/chartDrawing">
    <cdr:from>
      <cdr:x>0.3065</cdr:x>
      <cdr:y>0.14175</cdr:y>
    </cdr:from>
    <cdr:to>
      <cdr:x>0.32825</cdr:x>
      <cdr:y>0.239</cdr:y>
    </cdr:to>
    <cdr:sp>
      <cdr:nvSpPr>
        <cdr:cNvPr id="13" name="Line 19"/>
        <cdr:cNvSpPr>
          <a:spLocks/>
        </cdr:cNvSpPr>
      </cdr:nvSpPr>
      <cdr:spPr>
        <a:xfrm>
          <a:off x="1524000" y="628650"/>
          <a:ext cx="1047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0.8965</cdr:y>
    </cdr:from>
    <cdr:to>
      <cdr:x>0.1055</cdr:x>
      <cdr:y>0.93625</cdr:y>
    </cdr:to>
    <cdr:sp>
      <cdr:nvSpPr>
        <cdr:cNvPr id="14" name="テキスト 29"/>
        <cdr:cNvSpPr txBox="1">
          <a:spLocks noChangeArrowheads="1"/>
        </cdr:cNvSpPr>
      </cdr:nvSpPr>
      <cdr:spPr>
        <a:xfrm>
          <a:off x="171450" y="40100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0.5255</cdr:x>
      <cdr:y>0.35325</cdr:y>
    </cdr:from>
    <cdr:to>
      <cdr:x>0.764</cdr:x>
      <cdr:y>0.39575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2619375" y="1581150"/>
          <a:ext cx="1190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輸送人キロ（右目盛）</a:t>
          </a:r>
        </a:p>
      </cdr:txBody>
    </cdr:sp>
  </cdr:relSizeAnchor>
  <cdr:relSizeAnchor xmlns:cdr="http://schemas.openxmlformats.org/drawingml/2006/chartDrawing">
    <cdr:from>
      <cdr:x>0.78975</cdr:x>
      <cdr:y>0.1475</cdr:y>
    </cdr:from>
    <cdr:to>
      <cdr:x>0.7905</cdr:x>
      <cdr:y>0.31125</cdr:y>
    </cdr:to>
    <cdr:sp>
      <cdr:nvSpPr>
        <cdr:cNvPr id="16" name="Line 27"/>
        <cdr:cNvSpPr>
          <a:spLocks/>
        </cdr:cNvSpPr>
      </cdr:nvSpPr>
      <cdr:spPr>
        <a:xfrm>
          <a:off x="3933825" y="657225"/>
          <a:ext cx="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0.76725</cdr:x>
      <cdr:y>0.1475</cdr:y>
    </cdr:from>
    <cdr:to>
      <cdr:x>0.78975</cdr:x>
      <cdr:y>0.14825</cdr:y>
    </cdr:to>
    <cdr:sp>
      <cdr:nvSpPr>
        <cdr:cNvPr id="17" name="Line 28"/>
        <cdr:cNvSpPr>
          <a:spLocks/>
        </cdr:cNvSpPr>
      </cdr:nvSpPr>
      <cdr:spPr>
        <a:xfrm flipH="1">
          <a:off x="3829050" y="657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0.76725</cdr:x>
      <cdr:y>0.2275</cdr:y>
    </cdr:from>
    <cdr:to>
      <cdr:x>0.78975</cdr:x>
      <cdr:y>0.2275</cdr:y>
    </cdr:to>
    <cdr:sp>
      <cdr:nvSpPr>
        <cdr:cNvPr id="18" name="Line 29"/>
        <cdr:cNvSpPr>
          <a:spLocks/>
        </cdr:cNvSpPr>
      </cdr:nvSpPr>
      <cdr:spPr>
        <a:xfrm flipH="1">
          <a:off x="3829050" y="1009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0.7755</cdr:x>
      <cdr:y>0.31125</cdr:y>
    </cdr:from>
    <cdr:to>
      <cdr:x>0.78975</cdr:x>
      <cdr:y>0.31125</cdr:y>
    </cdr:to>
    <cdr:sp>
      <cdr:nvSpPr>
        <cdr:cNvPr id="19" name="Line 30"/>
        <cdr:cNvSpPr>
          <a:spLocks/>
        </cdr:cNvSpPr>
      </cdr:nvSpPr>
      <cdr:spPr>
        <a:xfrm flipH="1">
          <a:off x="3867150" y="1390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0.724</cdr:x>
      <cdr:y>0.295</cdr:y>
    </cdr:from>
    <cdr:to>
      <cdr:x>0.766</cdr:x>
      <cdr:y>0.329</cdr:y>
    </cdr:to>
    <cdr:sp>
      <cdr:nvSpPr>
        <cdr:cNvPr id="20" name="テキスト 22"/>
        <cdr:cNvSpPr txBox="1">
          <a:spLocks noChangeArrowheads="1"/>
        </cdr:cNvSpPr>
      </cdr:nvSpPr>
      <cdr:spPr>
        <a:xfrm>
          <a:off x="3609975" y="1314450"/>
          <a:ext cx="209550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5.0</a:t>
          </a:r>
        </a:p>
      </cdr:txBody>
    </cdr:sp>
  </cdr:relSizeAnchor>
  <cdr:relSizeAnchor xmlns:cdr="http://schemas.openxmlformats.org/drawingml/2006/chartDrawing">
    <cdr:from>
      <cdr:x>0.718</cdr:x>
      <cdr:y>0.206</cdr:y>
    </cdr:from>
    <cdr:to>
      <cdr:x>0.76</cdr:x>
      <cdr:y>0.24</cdr:y>
    </cdr:to>
    <cdr:sp>
      <cdr:nvSpPr>
        <cdr:cNvPr id="21" name="テキスト 22"/>
        <cdr:cNvSpPr txBox="1">
          <a:spLocks noChangeArrowheads="1"/>
        </cdr:cNvSpPr>
      </cdr:nvSpPr>
      <cdr:spPr>
        <a:xfrm>
          <a:off x="3581400" y="914400"/>
          <a:ext cx="209550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5.5</a:t>
          </a:r>
        </a:p>
      </cdr:txBody>
    </cdr:sp>
  </cdr:relSizeAnchor>
  <cdr:relSizeAnchor xmlns:cdr="http://schemas.openxmlformats.org/drawingml/2006/chartDrawing">
    <cdr:from>
      <cdr:x>0.718</cdr:x>
      <cdr:y>0.13525</cdr:y>
    </cdr:from>
    <cdr:to>
      <cdr:x>0.76</cdr:x>
      <cdr:y>0.16925</cdr:y>
    </cdr:to>
    <cdr:sp>
      <cdr:nvSpPr>
        <cdr:cNvPr id="22" name="テキスト 22"/>
        <cdr:cNvSpPr txBox="1">
          <a:spLocks noChangeArrowheads="1"/>
        </cdr:cNvSpPr>
      </cdr:nvSpPr>
      <cdr:spPr>
        <a:xfrm>
          <a:off x="3581400" y="600075"/>
          <a:ext cx="209550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6.0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31</xdr:row>
      <xdr:rowOff>9525</xdr:rowOff>
    </xdr:from>
    <xdr:to>
      <xdr:col>8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495300" y="4276725"/>
        <a:ext cx="49911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0.74775</cdr:x>
      <cdr:y>0.948</cdr:y>
    </cdr:from>
    <cdr:to>
      <cdr:x>0.8495</cdr:x>
      <cdr:y>0.99475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562350" y="5029200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0.001</cdr:x>
      <cdr:y>-0.00325</cdr:y>
    </cdr:from>
    <cdr:to>
      <cdr:x>0.14275</cdr:x>
      <cdr:y>0.03625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-9524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（百万人）</a:t>
          </a:r>
        </a:p>
      </cdr:txBody>
    </cdr:sp>
  </cdr:relSizeAnchor>
  <cdr:relSizeAnchor xmlns:cdr="http://schemas.openxmlformats.org/drawingml/2006/chartDrawing">
    <cdr:from>
      <cdr:x>0.0005</cdr:x>
      <cdr:y>0.3535</cdr:y>
    </cdr:from>
    <cdr:to>
      <cdr:x>0.0365</cdr:x>
      <cdr:y>0.49725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866900"/>
          <a:ext cx="17145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0.00275</cdr:x>
      <cdr:y>0.9505</cdr:y>
    </cdr:from>
    <cdr:to>
      <cdr:x>0.6535</cdr:x>
      <cdr:y>0.9935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9525" y="5038725"/>
          <a:ext cx="3105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国土交通省「自動車輸送統計年報」により作成</a:t>
          </a:r>
        </a:p>
      </cdr:txBody>
    </cdr:sp>
  </cdr:relSizeAnchor>
  <cdr:relSizeAnchor xmlns:cdr="http://schemas.openxmlformats.org/drawingml/2006/chartDrawing">
    <cdr:from>
      <cdr:x>0.6855</cdr:x>
      <cdr:y>-0.00775</cdr:y>
    </cdr:from>
    <cdr:to>
      <cdr:x>0.909</cdr:x>
      <cdr:y>0.02825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3267075" y="-38099"/>
          <a:ext cx="1066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（百万人キロ）
</a:t>
          </a:r>
        </a:p>
      </cdr:txBody>
    </cdr:sp>
  </cdr:relSizeAnchor>
  <cdr:relSizeAnchor xmlns:cdr="http://schemas.openxmlformats.org/drawingml/2006/chartDrawing">
    <cdr:from>
      <cdr:x>0.001</cdr:x>
      <cdr:y>0.04925</cdr:y>
    </cdr:from>
    <cdr:to>
      <cdr:x>0.007</cdr:x>
      <cdr:y>0.05475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0" y="2571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0.93725</cdr:x>
      <cdr:y>0.22475</cdr:y>
    </cdr:from>
    <cdr:to>
      <cdr:x>0.96925</cdr:x>
      <cdr:y>0.39525</cdr:y>
    </cdr:to>
    <cdr:sp>
      <cdr:nvSpPr>
        <cdr:cNvPr id="7" name="テキスト 13"/>
        <cdr:cNvSpPr txBox="1">
          <a:spLocks noChangeArrowheads="1"/>
        </cdr:cNvSpPr>
      </cdr:nvSpPr>
      <cdr:spPr>
        <a:xfrm>
          <a:off x="4467225" y="1190625"/>
          <a:ext cx="152400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
</a:t>
          </a:r>
        </a:p>
      </cdr:txBody>
    </cdr:sp>
  </cdr:relSizeAnchor>
  <cdr:relSizeAnchor xmlns:cdr="http://schemas.openxmlformats.org/drawingml/2006/chartDrawing">
    <cdr:from>
      <cdr:x>0.16125</cdr:x>
      <cdr:y>0.06875</cdr:y>
    </cdr:from>
    <cdr:to>
      <cdr:x>0.323</cdr:x>
      <cdr:y>0.1065</cdr:y>
    </cdr:to>
    <cdr:sp>
      <cdr:nvSpPr>
        <cdr:cNvPr id="8" name="テキスト 14"/>
        <cdr:cNvSpPr txBox="1">
          <a:spLocks noChangeArrowheads="1"/>
        </cdr:cNvSpPr>
      </cdr:nvSpPr>
      <cdr:spPr>
        <a:xfrm>
          <a:off x="762000" y="361950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平均輸送距離</a:t>
          </a:r>
        </a:p>
      </cdr:txBody>
    </cdr:sp>
  </cdr:relSizeAnchor>
  <cdr:relSizeAnchor xmlns:cdr="http://schemas.openxmlformats.org/drawingml/2006/chartDrawing">
    <cdr:from>
      <cdr:x>0.48825</cdr:x>
      <cdr:y>0.26275</cdr:y>
    </cdr:from>
    <cdr:to>
      <cdr:x>0.513</cdr:x>
      <cdr:y>0.2915</cdr:y>
    </cdr:to>
    <cdr:sp>
      <cdr:nvSpPr>
        <cdr:cNvPr id="9" name="Rectangle 14"/>
        <cdr:cNvSpPr>
          <a:spLocks/>
        </cdr:cNvSpPr>
      </cdr:nvSpPr>
      <cdr:spPr>
        <a:xfrm>
          <a:off x="2324100" y="1390650"/>
          <a:ext cx="114300" cy="152400"/>
        </a:xfrm>
        <a:prstGeom prst="rect">
          <a:avLst/>
        </a:prstGeom>
        <a:pattFill prst="pct10">
          <a:fgClr>
            <a:srgbClr val="000000"/>
          </a:fgClr>
          <a:bgClr>
            <a:srgbClr val="E3E3E3"/>
          </a:bgClr>
        </a:pattFill>
        <a:ln w="1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0.29825</cdr:y>
    </cdr:from>
    <cdr:to>
      <cdr:x>0.5115</cdr:x>
      <cdr:y>0.32875</cdr:y>
    </cdr:to>
    <cdr:sp>
      <cdr:nvSpPr>
        <cdr:cNvPr id="10" name="Rectangle 15"/>
        <cdr:cNvSpPr>
          <a:spLocks/>
        </cdr:cNvSpPr>
      </cdr:nvSpPr>
      <cdr:spPr>
        <a:xfrm>
          <a:off x="2324100" y="1581150"/>
          <a:ext cx="114300" cy="161925"/>
        </a:xfrm>
        <a:prstGeom prst="rect">
          <a:avLst/>
        </a:prstGeom>
        <a:pattFill prst="ltDnDiag">
          <a:fgClr>
            <a:srgbClr val="69FFFF"/>
          </a:fgClr>
          <a:bgClr>
            <a:srgbClr val="00CCFF"/>
          </a:bgClr>
        </a:pattFill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0.25775</cdr:y>
    </cdr:from>
    <cdr:to>
      <cdr:x>0.6865</cdr:x>
      <cdr:y>0.29</cdr:y>
    </cdr:to>
    <cdr:sp>
      <cdr:nvSpPr>
        <cdr:cNvPr id="11" name="テキスト 19"/>
        <cdr:cNvSpPr txBox="1">
          <a:spLocks noChangeArrowheads="1"/>
        </cdr:cNvSpPr>
      </cdr:nvSpPr>
      <cdr:spPr>
        <a:xfrm>
          <a:off x="2457450" y="1362075"/>
          <a:ext cx="809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0.516</cdr:x>
      <cdr:y>0.29325</cdr:y>
    </cdr:from>
    <cdr:to>
      <cdr:x>0.7655</cdr:x>
      <cdr:y>0.33625</cdr:y>
    </cdr:to>
    <cdr:sp>
      <cdr:nvSpPr>
        <cdr:cNvPr id="12" name="テキスト 21"/>
        <cdr:cNvSpPr txBox="1">
          <a:spLocks noChangeArrowheads="1"/>
        </cdr:cNvSpPr>
      </cdr:nvSpPr>
      <cdr:spPr>
        <a:xfrm>
          <a:off x="2457450" y="155257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輸送人キロ（右目盛）</a:t>
          </a:r>
        </a:p>
      </cdr:txBody>
    </cdr:sp>
  </cdr:relSizeAnchor>
  <cdr:relSizeAnchor xmlns:cdr="http://schemas.openxmlformats.org/drawingml/2006/chartDrawing">
    <cdr:from>
      <cdr:x>0.12075</cdr:x>
      <cdr:y>0.09925</cdr:y>
    </cdr:from>
    <cdr:to>
      <cdr:x>0.2345</cdr:x>
      <cdr:y>0.1315</cdr:y>
    </cdr:to>
    <cdr:sp>
      <cdr:nvSpPr>
        <cdr:cNvPr id="13" name="テキスト 22"/>
        <cdr:cNvSpPr txBox="1">
          <a:spLocks noChangeArrowheads="1"/>
        </cdr:cNvSpPr>
      </cdr:nvSpPr>
      <cdr:spPr>
        <a:xfrm>
          <a:off x="571500" y="523875"/>
          <a:ext cx="542925" cy="17145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（キロ）</a:t>
          </a:r>
        </a:p>
      </cdr:txBody>
    </cdr:sp>
  </cdr:relSizeAnchor>
  <cdr:relSizeAnchor xmlns:cdr="http://schemas.openxmlformats.org/drawingml/2006/chartDrawing">
    <cdr:from>
      <cdr:x>0.25875</cdr:x>
      <cdr:y>0.10675</cdr:y>
    </cdr:from>
    <cdr:to>
      <cdr:x>0.2835</cdr:x>
      <cdr:y>0.1545</cdr:y>
    </cdr:to>
    <cdr:sp>
      <cdr:nvSpPr>
        <cdr:cNvPr id="14" name="Line 19"/>
        <cdr:cNvSpPr>
          <a:spLocks/>
        </cdr:cNvSpPr>
      </cdr:nvSpPr>
      <cdr:spPr>
        <a:xfrm>
          <a:off x="1228725" y="561975"/>
          <a:ext cx="114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0.89625</cdr:y>
    </cdr:from>
    <cdr:to>
      <cdr:x>0.09075</cdr:x>
      <cdr:y>0.948</cdr:y>
    </cdr:to>
    <cdr:sp>
      <cdr:nvSpPr>
        <cdr:cNvPr id="15" name="テキスト 29"/>
        <cdr:cNvSpPr txBox="1">
          <a:spLocks noChangeArrowheads="1"/>
        </cdr:cNvSpPr>
      </cdr:nvSpPr>
      <cdr:spPr>
        <a:xfrm>
          <a:off x="142875" y="4752975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0.16125</cdr:x>
      <cdr:y>0.29</cdr:y>
    </cdr:from>
    <cdr:to>
      <cdr:x>0.21725</cdr:x>
      <cdr:y>0.32225</cdr:y>
    </cdr:to>
    <cdr:sp>
      <cdr:nvSpPr>
        <cdr:cNvPr id="16" name="テキスト 8"/>
        <cdr:cNvSpPr txBox="1">
          <a:spLocks noChangeArrowheads="1"/>
        </cdr:cNvSpPr>
      </cdr:nvSpPr>
      <cdr:spPr>
        <a:xfrm>
          <a:off x="762000" y="15335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165</a:t>
          </a:r>
        </a:p>
      </cdr:txBody>
    </cdr:sp>
  </cdr:relSizeAnchor>
  <cdr:relSizeAnchor xmlns:cdr="http://schemas.openxmlformats.org/drawingml/2006/chartDrawing">
    <cdr:from>
      <cdr:x>0.16125</cdr:x>
      <cdr:y>0.13225</cdr:y>
    </cdr:from>
    <cdr:to>
      <cdr:x>0.21725</cdr:x>
      <cdr:y>0.161</cdr:y>
    </cdr:to>
    <cdr:sp>
      <cdr:nvSpPr>
        <cdr:cNvPr id="17" name="テキスト 8"/>
        <cdr:cNvSpPr txBox="1">
          <a:spLocks noChangeArrowheads="1"/>
        </cdr:cNvSpPr>
      </cdr:nvSpPr>
      <cdr:spPr>
        <a:xfrm>
          <a:off x="762000" y="69532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175</a:t>
          </a:r>
        </a:p>
      </cdr:txBody>
    </cdr:sp>
  </cdr:relSizeAnchor>
  <cdr:relSizeAnchor xmlns:cdr="http://schemas.openxmlformats.org/drawingml/2006/chartDrawing">
    <cdr:from>
      <cdr:x>0.16125</cdr:x>
      <cdr:y>0.20975</cdr:y>
    </cdr:from>
    <cdr:to>
      <cdr:x>0.21725</cdr:x>
      <cdr:y>0.2385</cdr:y>
    </cdr:to>
    <cdr:sp>
      <cdr:nvSpPr>
        <cdr:cNvPr id="18" name="テキスト 8"/>
        <cdr:cNvSpPr txBox="1">
          <a:spLocks noChangeArrowheads="1"/>
        </cdr:cNvSpPr>
      </cdr:nvSpPr>
      <cdr:spPr>
        <a:xfrm>
          <a:off x="762000" y="1104900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9525</xdr:rowOff>
    </xdr:from>
    <xdr:to>
      <xdr:col>7</xdr:col>
      <xdr:colOff>657225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85800" y="4324350"/>
        <a:ext cx="47720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676275</xdr:colOff>
      <xdr:row>35</xdr:row>
      <xdr:rowOff>114300</xdr:rowOff>
    </xdr:from>
    <xdr:to>
      <xdr:col>1</xdr:col>
      <xdr:colOff>676275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62075" y="5114925"/>
          <a:ext cx="0" cy="9048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133350</xdr:rowOff>
    </xdr:from>
    <xdr:to>
      <xdr:col>2</xdr:col>
      <xdr:colOff>85725</xdr:colOff>
      <xdr:row>35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1371600" y="5133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28575</xdr:rowOff>
    </xdr:from>
    <xdr:to>
      <xdr:col>2</xdr:col>
      <xdr:colOff>85725</xdr:colOff>
      <xdr:row>38</xdr:row>
      <xdr:rowOff>28575</xdr:rowOff>
    </xdr:to>
    <xdr:sp>
      <xdr:nvSpPr>
        <xdr:cNvPr id="4" name="Line 4"/>
        <xdr:cNvSpPr>
          <a:spLocks/>
        </xdr:cNvSpPr>
      </xdr:nvSpPr>
      <xdr:spPr>
        <a:xfrm flipH="1">
          <a:off x="1371600" y="5543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123825</xdr:rowOff>
    </xdr:from>
    <xdr:to>
      <xdr:col>2</xdr:col>
      <xdr:colOff>95250</xdr:colOff>
      <xdr:row>40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1390650" y="598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0.239</cdr:y>
    </cdr:from>
    <cdr:to>
      <cdr:x>0.0315</cdr:x>
      <cdr:y>0.4995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914400"/>
          <a:ext cx="11430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輸送人キロ伸び率</a:t>
          </a:r>
        </a:p>
      </cdr:txBody>
    </cdr:sp>
  </cdr:relSizeAnchor>
  <cdr:relSizeAnchor xmlns:cdr="http://schemas.openxmlformats.org/drawingml/2006/chartDrawing">
    <cdr:from>
      <cdr:x>0.903</cdr:x>
      <cdr:y>0.10825</cdr:y>
    </cdr:from>
    <cdr:to>
      <cdr:x>0.96225</cdr:x>
      <cdr:y>0.143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05325" y="409575"/>
          <a:ext cx="295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86.4
</a:t>
          </a:r>
        </a:p>
      </cdr:txBody>
    </cdr:sp>
  </cdr:relSizeAnchor>
  <cdr:relSizeAnchor xmlns:cdr="http://schemas.openxmlformats.org/drawingml/2006/chartDrawing">
    <cdr:from>
      <cdr:x>0.9135</cdr:x>
      <cdr:y>-0.003</cdr:y>
    </cdr:from>
    <cdr:to>
      <cdr:x>0.9765</cdr:x>
      <cdr:y>0.01925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4552950" y="-9524"/>
          <a:ext cx="3143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(％）</a:t>
          </a:r>
        </a:p>
      </cdr:txBody>
    </cdr:sp>
  </cdr:relSizeAnchor>
  <cdr:relSizeAnchor xmlns:cdr="http://schemas.openxmlformats.org/drawingml/2006/chartDrawing">
    <cdr:from>
      <cdr:x>0.90275</cdr:x>
      <cdr:y>0.203</cdr:y>
    </cdr:from>
    <cdr:to>
      <cdr:x>0.9505</cdr:x>
      <cdr:y>0.23275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4505325" y="771525"/>
          <a:ext cx="238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86.2
</a:t>
          </a:r>
        </a:p>
      </cdr:txBody>
    </cdr:sp>
  </cdr:relSizeAnchor>
  <cdr:relSizeAnchor xmlns:cdr="http://schemas.openxmlformats.org/drawingml/2006/chartDrawing">
    <cdr:from>
      <cdr:x>0.903</cdr:x>
      <cdr:y>0.31175</cdr:y>
    </cdr:from>
    <cdr:to>
      <cdr:x>0.95075</cdr:x>
      <cdr:y>0.334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05325" y="1190625"/>
          <a:ext cx="2381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86.0
</a:t>
          </a:r>
        </a:p>
      </cdr:txBody>
    </cdr:sp>
  </cdr:relSizeAnchor>
  <cdr:relSizeAnchor xmlns:cdr="http://schemas.openxmlformats.org/drawingml/2006/chartDrawing">
    <cdr:from>
      <cdr:x>0.905</cdr:x>
      <cdr:y>0.5735</cdr:y>
    </cdr:from>
    <cdr:to>
      <cdr:x>0.94125</cdr:x>
      <cdr:y>0.59575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4514850" y="2200275"/>
          <a:ext cx="1809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54</a:t>
          </a:r>
        </a:p>
      </cdr:txBody>
    </cdr:sp>
  </cdr:relSizeAnchor>
  <cdr:relSizeAnchor xmlns:cdr="http://schemas.openxmlformats.org/drawingml/2006/chartDrawing">
    <cdr:from>
      <cdr:x>0.9085</cdr:x>
      <cdr:y>0.6495</cdr:y>
    </cdr:from>
    <cdr:to>
      <cdr:x>0.93725</cdr:x>
      <cdr:y>0.67925</cdr:y>
    </cdr:to>
    <cdr:sp>
      <cdr:nvSpPr>
        <cdr:cNvPr id="7" name="テキスト 11"/>
        <cdr:cNvSpPr txBox="1">
          <a:spLocks noChangeArrowheads="1"/>
        </cdr:cNvSpPr>
      </cdr:nvSpPr>
      <cdr:spPr>
        <a:xfrm>
          <a:off x="4533900" y="2486025"/>
          <a:ext cx="1428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52</a:t>
          </a:r>
        </a:p>
      </cdr:txBody>
    </cdr:sp>
  </cdr:relSizeAnchor>
  <cdr:relSizeAnchor xmlns:cdr="http://schemas.openxmlformats.org/drawingml/2006/chartDrawing">
    <cdr:from>
      <cdr:x>0.90725</cdr:x>
      <cdr:y>0.718</cdr:y>
    </cdr:from>
    <cdr:to>
      <cdr:x>0.93775</cdr:x>
      <cdr:y>0.74775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4524375" y="2752725"/>
          <a:ext cx="1524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50</a:t>
          </a:r>
        </a:p>
      </cdr:txBody>
    </cdr:sp>
  </cdr:relSizeAnchor>
  <cdr:relSizeAnchor xmlns:cdr="http://schemas.openxmlformats.org/drawingml/2006/chartDrawing">
    <cdr:from>
      <cdr:x>0.909</cdr:x>
      <cdr:y>0.5075</cdr:y>
    </cdr:from>
    <cdr:to>
      <cdr:x>0.96425</cdr:x>
      <cdr:y>0.52975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4533900" y="1943100"/>
          <a:ext cx="2762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(％）</a:t>
          </a:r>
        </a:p>
      </cdr:txBody>
    </cdr:sp>
  </cdr:relSizeAnchor>
  <cdr:relSizeAnchor xmlns:cdr="http://schemas.openxmlformats.org/drawingml/2006/chartDrawing">
    <cdr:from>
      <cdr:x>0.14875</cdr:x>
      <cdr:y>0.5255</cdr:y>
    </cdr:from>
    <cdr:to>
      <cdr:x>0.1945</cdr:x>
      <cdr:y>0.55525</cdr:y>
    </cdr:to>
    <cdr:sp>
      <cdr:nvSpPr>
        <cdr:cNvPr id="10" name="テキスト 16"/>
        <cdr:cNvSpPr txBox="1">
          <a:spLocks noChangeArrowheads="1"/>
        </cdr:cNvSpPr>
      </cdr:nvSpPr>
      <cdr:spPr>
        <a:xfrm>
          <a:off x="733425" y="2009775"/>
          <a:ext cx="2286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-2.6</a:t>
          </a:r>
        </a:p>
      </cdr:txBody>
    </cdr:sp>
  </cdr:relSizeAnchor>
  <cdr:relSizeAnchor xmlns:cdr="http://schemas.openxmlformats.org/drawingml/2006/chartDrawing">
    <cdr:from>
      <cdr:x>0.31075</cdr:x>
      <cdr:y>0.55625</cdr:y>
    </cdr:from>
    <cdr:to>
      <cdr:x>0.3565</cdr:x>
      <cdr:y>0.586</cdr:y>
    </cdr:to>
    <cdr:sp>
      <cdr:nvSpPr>
        <cdr:cNvPr id="11" name="テキスト 17"/>
        <cdr:cNvSpPr txBox="1">
          <a:spLocks noChangeArrowheads="1"/>
        </cdr:cNvSpPr>
      </cdr:nvSpPr>
      <cdr:spPr>
        <a:xfrm>
          <a:off x="1543050" y="2133600"/>
          <a:ext cx="2286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-3.1</a:t>
          </a:r>
        </a:p>
      </cdr:txBody>
    </cdr:sp>
  </cdr:relSizeAnchor>
  <cdr:relSizeAnchor xmlns:cdr="http://schemas.openxmlformats.org/drawingml/2006/chartDrawing">
    <cdr:from>
      <cdr:x>0.47175</cdr:x>
      <cdr:y>0.60675</cdr:y>
    </cdr:from>
    <cdr:to>
      <cdr:x>0.5195</cdr:x>
      <cdr:y>0.629</cdr:y>
    </cdr:to>
    <cdr:sp>
      <cdr:nvSpPr>
        <cdr:cNvPr id="12" name="テキスト 18"/>
        <cdr:cNvSpPr txBox="1">
          <a:spLocks noChangeArrowheads="1"/>
        </cdr:cNvSpPr>
      </cdr:nvSpPr>
      <cdr:spPr>
        <a:xfrm>
          <a:off x="2352675" y="2324100"/>
          <a:ext cx="2381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-5.0</a:t>
          </a:r>
        </a:p>
      </cdr:txBody>
    </cdr:sp>
  </cdr:relSizeAnchor>
  <cdr:relSizeAnchor xmlns:cdr="http://schemas.openxmlformats.org/drawingml/2006/chartDrawing">
    <cdr:from>
      <cdr:x>0.143</cdr:x>
      <cdr:y>0.12775</cdr:y>
    </cdr:from>
    <cdr:to>
      <cdr:x>0.206</cdr:x>
      <cdr:y>0.1575</cdr:y>
    </cdr:to>
    <cdr:sp>
      <cdr:nvSpPr>
        <cdr:cNvPr id="13" name="テキスト 21"/>
        <cdr:cNvSpPr txBox="1">
          <a:spLocks noChangeArrowheads="1"/>
        </cdr:cNvSpPr>
      </cdr:nvSpPr>
      <cdr:spPr>
        <a:xfrm>
          <a:off x="704850" y="485775"/>
          <a:ext cx="3143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86.48</a:t>
          </a:r>
        </a:p>
      </cdr:txBody>
    </cdr:sp>
  </cdr:relSizeAnchor>
  <cdr:relSizeAnchor xmlns:cdr="http://schemas.openxmlformats.org/drawingml/2006/chartDrawing">
    <cdr:from>
      <cdr:x>0.293</cdr:x>
      <cdr:y>0.09025</cdr:y>
    </cdr:from>
    <cdr:to>
      <cdr:x>0.356</cdr:x>
      <cdr:y>0.12</cdr:y>
    </cdr:to>
    <cdr:sp>
      <cdr:nvSpPr>
        <cdr:cNvPr id="14" name="テキスト 22"/>
        <cdr:cNvSpPr txBox="1">
          <a:spLocks noChangeArrowheads="1"/>
        </cdr:cNvSpPr>
      </cdr:nvSpPr>
      <cdr:spPr>
        <a:xfrm>
          <a:off x="1457325" y="342900"/>
          <a:ext cx="3143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86.57</a:t>
          </a:r>
        </a:p>
      </cdr:txBody>
    </cdr:sp>
  </cdr:relSizeAnchor>
  <cdr:relSizeAnchor xmlns:cdr="http://schemas.openxmlformats.org/drawingml/2006/chartDrawing">
    <cdr:from>
      <cdr:x>0.1415</cdr:x>
      <cdr:y>0.67175</cdr:y>
    </cdr:from>
    <cdr:to>
      <cdr:x>0.2065</cdr:x>
      <cdr:y>0.7015</cdr:y>
    </cdr:to>
    <cdr:sp>
      <cdr:nvSpPr>
        <cdr:cNvPr id="15" name="テキスト 25"/>
        <cdr:cNvSpPr txBox="1">
          <a:spLocks noChangeArrowheads="1"/>
        </cdr:cNvSpPr>
      </cdr:nvSpPr>
      <cdr:spPr>
        <a:xfrm>
          <a:off x="704850" y="2571750"/>
          <a:ext cx="3238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52.52</a:t>
          </a:r>
        </a:p>
      </cdr:txBody>
    </cdr:sp>
  </cdr:relSizeAnchor>
  <cdr:relSizeAnchor xmlns:cdr="http://schemas.openxmlformats.org/drawingml/2006/chartDrawing">
    <cdr:from>
      <cdr:x>0.27575</cdr:x>
      <cdr:y>0.71375</cdr:y>
    </cdr:from>
    <cdr:to>
      <cdr:x>0.335</cdr:x>
      <cdr:y>0.741</cdr:y>
    </cdr:to>
    <cdr:sp>
      <cdr:nvSpPr>
        <cdr:cNvPr id="16" name="テキスト 26"/>
        <cdr:cNvSpPr txBox="1">
          <a:spLocks noChangeArrowheads="1"/>
        </cdr:cNvSpPr>
      </cdr:nvSpPr>
      <cdr:spPr>
        <a:xfrm>
          <a:off x="1371600" y="2733675"/>
          <a:ext cx="29527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50.87</a:t>
          </a:r>
        </a:p>
      </cdr:txBody>
    </cdr:sp>
  </cdr:relSizeAnchor>
  <cdr:relSizeAnchor xmlns:cdr="http://schemas.openxmlformats.org/drawingml/2006/chartDrawing">
    <cdr:from>
      <cdr:x>0.9615</cdr:x>
      <cdr:y>0.222</cdr:y>
    </cdr:from>
    <cdr:to>
      <cdr:x>0.99025</cdr:x>
      <cdr:y>0.32375</cdr:y>
    </cdr:to>
    <cdr:sp>
      <cdr:nvSpPr>
        <cdr:cNvPr id="17" name="テキスト 27"/>
        <cdr:cNvSpPr txBox="1">
          <a:spLocks noChangeArrowheads="1"/>
        </cdr:cNvSpPr>
      </cdr:nvSpPr>
      <cdr:spPr>
        <a:xfrm>
          <a:off x="4791075" y="847725"/>
          <a:ext cx="1428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実働率</a:t>
          </a:r>
        </a:p>
      </cdr:txBody>
    </cdr:sp>
  </cdr:relSizeAnchor>
  <cdr:relSizeAnchor xmlns:cdr="http://schemas.openxmlformats.org/drawingml/2006/chartDrawing">
    <cdr:from>
      <cdr:x>0.9655</cdr:x>
      <cdr:y>0.629</cdr:y>
    </cdr:from>
    <cdr:to>
      <cdr:x>0.99425</cdr:x>
      <cdr:y>0.72325</cdr:y>
    </cdr:to>
    <cdr:sp>
      <cdr:nvSpPr>
        <cdr:cNvPr id="18" name="テキスト 28"/>
        <cdr:cNvSpPr txBox="1">
          <a:spLocks noChangeArrowheads="1"/>
        </cdr:cNvSpPr>
      </cdr:nvSpPr>
      <cdr:spPr>
        <a:xfrm>
          <a:off x="4810125" y="2409825"/>
          <a:ext cx="142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実車率</a:t>
          </a:r>
        </a:p>
      </cdr:txBody>
    </cdr:sp>
  </cdr:relSizeAnchor>
  <cdr:relSizeAnchor xmlns:cdr="http://schemas.openxmlformats.org/drawingml/2006/chartDrawing">
    <cdr:from>
      <cdr:x>0.23625</cdr:x>
      <cdr:y>0.32875</cdr:y>
    </cdr:from>
    <cdr:to>
      <cdr:x>0.40025</cdr:x>
      <cdr:y>0.3585</cdr:y>
    </cdr:to>
    <cdr:sp>
      <cdr:nvSpPr>
        <cdr:cNvPr id="19" name="テキスト 29"/>
        <cdr:cNvSpPr txBox="1">
          <a:spLocks noChangeArrowheads="1"/>
        </cdr:cNvSpPr>
      </cdr:nvSpPr>
      <cdr:spPr>
        <a:xfrm>
          <a:off x="1171575" y="1257300"/>
          <a:ext cx="8191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実働率（右目盛）</a:t>
          </a:r>
        </a:p>
      </cdr:txBody>
    </cdr:sp>
  </cdr:relSizeAnchor>
  <cdr:relSizeAnchor xmlns:cdr="http://schemas.openxmlformats.org/drawingml/2006/chartDrawing">
    <cdr:from>
      <cdr:x>0.38925</cdr:x>
      <cdr:y>0.21675</cdr:y>
    </cdr:from>
    <cdr:to>
      <cdr:x>0.4265</cdr:x>
      <cdr:y>0.351</cdr:y>
    </cdr:to>
    <cdr:sp>
      <cdr:nvSpPr>
        <cdr:cNvPr id="20" name="Line 30"/>
        <cdr:cNvSpPr>
          <a:spLocks/>
        </cdr:cNvSpPr>
      </cdr:nvSpPr>
      <cdr:spPr>
        <a:xfrm flipV="1">
          <a:off x="1933575" y="828675"/>
          <a:ext cx="1905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0.7795</cdr:y>
    </cdr:from>
    <cdr:to>
      <cdr:x>0.34375</cdr:x>
      <cdr:y>0.80175</cdr:y>
    </cdr:to>
    <cdr:sp>
      <cdr:nvSpPr>
        <cdr:cNvPr id="21" name="テキスト 31"/>
        <cdr:cNvSpPr txBox="1">
          <a:spLocks noChangeArrowheads="1"/>
        </cdr:cNvSpPr>
      </cdr:nvSpPr>
      <cdr:spPr>
        <a:xfrm>
          <a:off x="809625" y="2990850"/>
          <a:ext cx="9048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実車率（右目盛）</a:t>
          </a:r>
        </a:p>
      </cdr:txBody>
    </cdr:sp>
  </cdr:relSizeAnchor>
  <cdr:relSizeAnchor xmlns:cdr="http://schemas.openxmlformats.org/drawingml/2006/chartDrawing">
    <cdr:from>
      <cdr:x>0.32925</cdr:x>
      <cdr:y>0.7145</cdr:y>
    </cdr:from>
    <cdr:to>
      <cdr:x>0.37475</cdr:x>
      <cdr:y>0.807</cdr:y>
    </cdr:to>
    <cdr:sp>
      <cdr:nvSpPr>
        <cdr:cNvPr id="22" name="Line 32"/>
        <cdr:cNvSpPr>
          <a:spLocks/>
        </cdr:cNvSpPr>
      </cdr:nvSpPr>
      <cdr:spPr>
        <a:xfrm flipV="1">
          <a:off x="1638300" y="2733675"/>
          <a:ext cx="2286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0.9605</cdr:y>
    </cdr:from>
    <cdr:to>
      <cdr:x>0.52925</cdr:x>
      <cdr:y>0.99275</cdr:y>
    </cdr:to>
    <cdr:sp>
      <cdr:nvSpPr>
        <cdr:cNvPr id="23" name="テキスト 33"/>
        <cdr:cNvSpPr txBox="1">
          <a:spLocks noChangeArrowheads="1"/>
        </cdr:cNvSpPr>
      </cdr:nvSpPr>
      <cdr:spPr>
        <a:xfrm>
          <a:off x="381000" y="3686175"/>
          <a:ext cx="22574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注　運輸省「自動車輸送統計年報」等により作成</a:t>
          </a:r>
        </a:p>
      </cdr:txBody>
    </cdr:sp>
  </cdr:relSizeAnchor>
  <cdr:relSizeAnchor xmlns:cdr="http://schemas.openxmlformats.org/drawingml/2006/chartDrawing">
    <cdr:from>
      <cdr:x>0.03325</cdr:x>
      <cdr:y>-0.00575</cdr:y>
    </cdr:from>
    <cdr:to>
      <cdr:x>0.1115</cdr:x>
      <cdr:y>0.024</cdr:y>
    </cdr:to>
    <cdr:sp>
      <cdr:nvSpPr>
        <cdr:cNvPr id="24" name="テキスト 34"/>
        <cdr:cNvSpPr txBox="1">
          <a:spLocks noChangeArrowheads="1"/>
        </cdr:cNvSpPr>
      </cdr:nvSpPr>
      <cdr:spPr>
        <a:xfrm>
          <a:off x="161925" y="-19049"/>
          <a:ext cx="3905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0.10825</cdr:x>
      <cdr:y>0.2065</cdr:y>
    </cdr:from>
    <cdr:to>
      <cdr:x>0.13</cdr:x>
      <cdr:y>0.2425</cdr:y>
    </cdr:to>
    <cdr:sp>
      <cdr:nvSpPr>
        <cdr:cNvPr id="25" name="Rectangle 35"/>
        <cdr:cNvSpPr>
          <a:spLocks/>
        </cdr:cNvSpPr>
      </cdr:nvSpPr>
      <cdr:spPr>
        <a:xfrm>
          <a:off x="533400" y="790575"/>
          <a:ext cx="104775" cy="142875"/>
        </a:xfrm>
        <a:prstGeom prst="rect">
          <a:avLst/>
        </a:prstGeom>
        <a:solidFill>
          <a:srgbClr val="80206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0.19875</cdr:y>
    </cdr:from>
    <cdr:to>
      <cdr:x>0.30475</cdr:x>
      <cdr:y>0.2285</cdr:y>
    </cdr:to>
    <cdr:sp>
      <cdr:nvSpPr>
        <cdr:cNvPr id="26" name="テキスト 36"/>
        <cdr:cNvSpPr txBox="1">
          <a:spLocks noChangeArrowheads="1"/>
        </cdr:cNvSpPr>
      </cdr:nvSpPr>
      <cdr:spPr>
        <a:xfrm>
          <a:off x="666750" y="762000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輸送人キロの伸び</a:t>
          </a:r>
        </a:p>
      </cdr:txBody>
    </cdr:sp>
  </cdr:relSizeAnchor>
  <cdr:relSizeAnchor xmlns:cdr="http://schemas.openxmlformats.org/drawingml/2006/chartDrawing">
    <cdr:from>
      <cdr:x>0.4685</cdr:x>
      <cdr:y>0.20225</cdr:y>
    </cdr:from>
    <cdr:to>
      <cdr:x>0.5315</cdr:x>
      <cdr:y>0.232</cdr:y>
    </cdr:to>
    <cdr:sp>
      <cdr:nvSpPr>
        <cdr:cNvPr id="27" name="テキスト 37"/>
        <cdr:cNvSpPr txBox="1">
          <a:spLocks noChangeArrowheads="1"/>
        </cdr:cNvSpPr>
      </cdr:nvSpPr>
      <cdr:spPr>
        <a:xfrm>
          <a:off x="2333625" y="771525"/>
          <a:ext cx="314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86.12
</a:t>
          </a:r>
        </a:p>
      </cdr:txBody>
    </cdr:sp>
  </cdr:relSizeAnchor>
  <cdr:relSizeAnchor xmlns:cdr="http://schemas.openxmlformats.org/drawingml/2006/chartDrawing">
    <cdr:from>
      <cdr:x>0.437</cdr:x>
      <cdr:y>0.79075</cdr:y>
    </cdr:from>
    <cdr:to>
      <cdr:x>0.51725</cdr:x>
      <cdr:y>0.8205</cdr:y>
    </cdr:to>
    <cdr:sp>
      <cdr:nvSpPr>
        <cdr:cNvPr id="28" name="テキスト 38"/>
        <cdr:cNvSpPr txBox="1">
          <a:spLocks noChangeArrowheads="1"/>
        </cdr:cNvSpPr>
      </cdr:nvSpPr>
      <cdr:spPr>
        <a:xfrm>
          <a:off x="2171700" y="3028950"/>
          <a:ext cx="4000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49.40
</a:t>
          </a:r>
        </a:p>
      </cdr:txBody>
    </cdr:sp>
  </cdr:relSizeAnchor>
  <cdr:relSizeAnchor xmlns:cdr="http://schemas.openxmlformats.org/drawingml/2006/chartDrawing">
    <cdr:from>
      <cdr:x>0.908</cdr:x>
      <cdr:y>0.7975</cdr:y>
    </cdr:from>
    <cdr:to>
      <cdr:x>0.95575</cdr:x>
      <cdr:y>0.83975</cdr:y>
    </cdr:to>
    <cdr:sp>
      <cdr:nvSpPr>
        <cdr:cNvPr id="29" name="テキスト 39"/>
        <cdr:cNvSpPr txBox="1">
          <a:spLocks noChangeArrowheads="1"/>
        </cdr:cNvSpPr>
      </cdr:nvSpPr>
      <cdr:spPr>
        <a:xfrm>
          <a:off x="4524375" y="3057525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48
</a:t>
          </a:r>
        </a:p>
      </cdr:txBody>
    </cdr:sp>
  </cdr:relSizeAnchor>
  <cdr:relSizeAnchor xmlns:cdr="http://schemas.openxmlformats.org/drawingml/2006/chartDrawing">
    <cdr:from>
      <cdr:x>0.841</cdr:x>
      <cdr:y>0.91575</cdr:y>
    </cdr:from>
    <cdr:to>
      <cdr:x>0.92875</cdr:x>
      <cdr:y>0.9555</cdr:y>
    </cdr:to>
    <cdr:sp>
      <cdr:nvSpPr>
        <cdr:cNvPr id="30" name="テキスト 40"/>
        <cdr:cNvSpPr txBox="1">
          <a:spLocks noChangeArrowheads="1"/>
        </cdr:cNvSpPr>
      </cdr:nvSpPr>
      <cdr:spPr>
        <a:xfrm>
          <a:off x="4191000" y="3514725"/>
          <a:ext cx="438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0.629</cdr:x>
      <cdr:y>0.588</cdr:y>
    </cdr:from>
    <cdr:to>
      <cdr:x>0.6825</cdr:x>
      <cdr:y>0.61775</cdr:y>
    </cdr:to>
    <cdr:sp>
      <cdr:nvSpPr>
        <cdr:cNvPr id="31" name="テキスト 41"/>
        <cdr:cNvSpPr txBox="1">
          <a:spLocks noChangeArrowheads="1"/>
        </cdr:cNvSpPr>
      </cdr:nvSpPr>
      <cdr:spPr>
        <a:xfrm>
          <a:off x="3133725" y="2247900"/>
          <a:ext cx="2667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-4.3
</a:t>
          </a:r>
        </a:p>
      </cdr:txBody>
    </cdr:sp>
  </cdr:relSizeAnchor>
  <cdr:relSizeAnchor xmlns:cdr="http://schemas.openxmlformats.org/drawingml/2006/chartDrawing">
    <cdr:from>
      <cdr:x>0.901</cdr:x>
      <cdr:y>0.0285</cdr:y>
    </cdr:from>
    <cdr:to>
      <cdr:x>0.9545</cdr:x>
      <cdr:y>0.06575</cdr:y>
    </cdr:to>
    <cdr:sp>
      <cdr:nvSpPr>
        <cdr:cNvPr id="32" name="テキスト 42"/>
        <cdr:cNvSpPr txBox="1">
          <a:spLocks noChangeArrowheads="1"/>
        </cdr:cNvSpPr>
      </cdr:nvSpPr>
      <cdr:spPr>
        <a:xfrm>
          <a:off x="4495800" y="104775"/>
          <a:ext cx="2667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86.6
</a:t>
          </a:r>
        </a:p>
      </cdr:txBody>
    </cdr:sp>
  </cdr:relSizeAnchor>
  <cdr:relSizeAnchor xmlns:cdr="http://schemas.openxmlformats.org/drawingml/2006/chartDrawing">
    <cdr:from>
      <cdr:x>0.663</cdr:x>
      <cdr:y>0.06975</cdr:y>
    </cdr:from>
    <cdr:to>
      <cdr:x>0.726</cdr:x>
      <cdr:y>0.0995</cdr:y>
    </cdr:to>
    <cdr:sp>
      <cdr:nvSpPr>
        <cdr:cNvPr id="33" name="テキスト 43"/>
        <cdr:cNvSpPr txBox="1">
          <a:spLocks noChangeArrowheads="1"/>
        </cdr:cNvSpPr>
      </cdr:nvSpPr>
      <cdr:spPr>
        <a:xfrm>
          <a:off x="3305175" y="266700"/>
          <a:ext cx="314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86,46
86.46</a:t>
          </a:r>
        </a:p>
      </cdr:txBody>
    </cdr:sp>
  </cdr:relSizeAnchor>
  <cdr:relSizeAnchor xmlns:cdr="http://schemas.openxmlformats.org/drawingml/2006/chartDrawing">
    <cdr:from>
      <cdr:x>0.63775</cdr:x>
      <cdr:y>0.7325</cdr:y>
    </cdr:from>
    <cdr:to>
      <cdr:x>0.70275</cdr:x>
      <cdr:y>0.76225</cdr:y>
    </cdr:to>
    <cdr:sp>
      <cdr:nvSpPr>
        <cdr:cNvPr id="34" name="テキスト 44"/>
        <cdr:cNvSpPr txBox="1">
          <a:spLocks noChangeArrowheads="1"/>
        </cdr:cNvSpPr>
      </cdr:nvSpPr>
      <cdr:spPr>
        <a:xfrm>
          <a:off x="3181350" y="2809875"/>
          <a:ext cx="3238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48.16
</a:t>
          </a:r>
        </a:p>
      </cdr:txBody>
    </cdr:sp>
  </cdr:relSizeAnchor>
  <cdr:relSizeAnchor xmlns:cdr="http://schemas.openxmlformats.org/drawingml/2006/chartDrawing">
    <cdr:from>
      <cdr:x>0.79175</cdr:x>
      <cdr:y>0.559</cdr:y>
    </cdr:from>
    <cdr:to>
      <cdr:x>0.84525</cdr:x>
      <cdr:y>0.58875</cdr:y>
    </cdr:to>
    <cdr:sp>
      <cdr:nvSpPr>
        <cdr:cNvPr id="35" name="テキスト 45"/>
        <cdr:cNvSpPr txBox="1">
          <a:spLocks noChangeArrowheads="1"/>
        </cdr:cNvSpPr>
      </cdr:nvSpPr>
      <cdr:spPr>
        <a:xfrm>
          <a:off x="3943350" y="2143125"/>
          <a:ext cx="2667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-3.0
</a:t>
          </a:r>
        </a:p>
      </cdr:txBody>
    </cdr:sp>
  </cdr:relSizeAnchor>
  <cdr:relSizeAnchor xmlns:cdr="http://schemas.openxmlformats.org/drawingml/2006/chartDrawing">
    <cdr:from>
      <cdr:x>0.80475</cdr:x>
      <cdr:y>0.3365</cdr:y>
    </cdr:from>
    <cdr:to>
      <cdr:x>0.86775</cdr:x>
      <cdr:y>0.37125</cdr:y>
    </cdr:to>
    <cdr:sp>
      <cdr:nvSpPr>
        <cdr:cNvPr id="36" name="テキスト 46"/>
        <cdr:cNvSpPr txBox="1">
          <a:spLocks noChangeArrowheads="1"/>
        </cdr:cNvSpPr>
      </cdr:nvSpPr>
      <cdr:spPr>
        <a:xfrm>
          <a:off x="4010025" y="1285875"/>
          <a:ext cx="314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85.83
</a:t>
          </a:r>
        </a:p>
      </cdr:txBody>
    </cdr:sp>
  </cdr:relSizeAnchor>
  <cdr:relSizeAnchor xmlns:cdr="http://schemas.openxmlformats.org/drawingml/2006/chartDrawing">
    <cdr:from>
      <cdr:x>0.79</cdr:x>
      <cdr:y>0.77175</cdr:y>
    </cdr:from>
    <cdr:to>
      <cdr:x>0.85875</cdr:x>
      <cdr:y>0.8015</cdr:y>
    </cdr:to>
    <cdr:sp>
      <cdr:nvSpPr>
        <cdr:cNvPr id="37" name="テキスト 48"/>
        <cdr:cNvSpPr txBox="1">
          <a:spLocks noChangeArrowheads="1"/>
        </cdr:cNvSpPr>
      </cdr:nvSpPr>
      <cdr:spPr>
        <a:xfrm>
          <a:off x="3933825" y="2962275"/>
          <a:ext cx="3429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47.38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39</xdr:row>
      <xdr:rowOff>0</xdr:rowOff>
    </xdr:from>
    <xdr:to>
      <xdr:col>7</xdr:col>
      <xdr:colOff>676275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676275" y="5819775"/>
        <a:ext cx="49911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-0.029</cdr:y>
    </cdr:from>
    <cdr:to>
      <cdr:x>0.087</cdr:x>
      <cdr:y>0.04175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-66674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0.0855</cdr:x>
      <cdr:y>0.073</cdr:y>
    </cdr:from>
    <cdr:to>
      <cdr:x>0.20075</cdr:x>
      <cdr:y>0.14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66725" y="180975"/>
          <a:ext cx="638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保有車両数</a:t>
          </a:r>
        </a:p>
      </cdr:txBody>
    </cdr:sp>
  </cdr:relSizeAnchor>
  <cdr:relSizeAnchor xmlns:cdr="http://schemas.openxmlformats.org/drawingml/2006/chartDrawing">
    <cdr:from>
      <cdr:x>0.14325</cdr:x>
      <cdr:y>0.13875</cdr:y>
    </cdr:from>
    <cdr:to>
      <cdr:x>0.147</cdr:x>
      <cdr:y>0.2435</cdr:y>
    </cdr:to>
    <cdr:sp>
      <cdr:nvSpPr>
        <cdr:cNvPr id="3" name="Line 3"/>
        <cdr:cNvSpPr>
          <a:spLocks/>
        </cdr:cNvSpPr>
      </cdr:nvSpPr>
      <cdr:spPr>
        <a:xfrm>
          <a:off x="790575" y="352425"/>
          <a:ext cx="190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0.93275</cdr:y>
    </cdr:from>
    <cdr:to>
      <cdr:x>0.63525</cdr:x>
      <cdr:y>0.99975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9525" y="2381250"/>
          <a:ext cx="3505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運輸省「自動車輸送統計年報」等により作成</a:t>
          </a:r>
        </a:p>
      </cdr:txBody>
    </cdr:sp>
  </cdr:relSizeAnchor>
  <cdr:relSizeAnchor xmlns:cdr="http://schemas.openxmlformats.org/drawingml/2006/chartDrawing">
    <cdr:from>
      <cdr:x>0.914</cdr:x>
      <cdr:y>0.8555</cdr:y>
    </cdr:from>
    <cdr:to>
      <cdr:x>1</cdr:x>
      <cdr:y>0.9335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057775" y="2190750"/>
          <a:ext cx="628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workbookViewId="0" topLeftCell="A1">
      <selection activeCell="F26" sqref="F26"/>
    </sheetView>
  </sheetViews>
  <sheetFormatPr defaultColWidth="9.00390625" defaultRowHeight="13.5"/>
  <cols>
    <col min="1" max="1" width="9.00390625" style="75" customWidth="1"/>
    <col min="2" max="2" width="10.50390625" style="75" customWidth="1"/>
    <col min="3" max="3" width="6.25390625" style="75" customWidth="1"/>
    <col min="4" max="4" width="6.875" style="75" customWidth="1"/>
    <col min="5" max="6" width="4.875" style="75" customWidth="1"/>
    <col min="7" max="7" width="7.50390625" style="75" customWidth="1"/>
    <col min="8" max="8" width="7.375" style="75" customWidth="1"/>
    <col min="9" max="10" width="4.875" style="75" customWidth="1"/>
    <col min="11" max="11" width="6.25390625" style="75" customWidth="1"/>
    <col min="12" max="13" width="6.00390625" style="75" customWidth="1"/>
    <col min="14" max="16384" width="9.00390625" style="75" customWidth="1"/>
  </cols>
  <sheetData>
    <row r="1" spans="2:3" ht="14.25" customHeight="1">
      <c r="B1" s="73" t="s">
        <v>207</v>
      </c>
      <c r="C1" s="74"/>
    </row>
    <row r="2" ht="12" thickBot="1"/>
    <row r="3" spans="2:15" ht="13.5" customHeight="1">
      <c r="B3" s="76"/>
      <c r="C3" s="77" t="s">
        <v>4</v>
      </c>
      <c r="D3" s="78"/>
      <c r="E3" s="78"/>
      <c r="F3" s="79"/>
      <c r="G3" s="78" t="s">
        <v>5</v>
      </c>
      <c r="H3" s="78"/>
      <c r="I3" s="78"/>
      <c r="J3" s="79"/>
      <c r="K3" s="78" t="s">
        <v>6</v>
      </c>
      <c r="L3" s="80"/>
      <c r="M3" s="81"/>
      <c r="N3" s="77" t="s">
        <v>7</v>
      </c>
      <c r="O3" s="80"/>
    </row>
    <row r="4" spans="2:15" ht="13.5" customHeight="1">
      <c r="B4" s="82"/>
      <c r="C4" s="83"/>
      <c r="D4" s="84"/>
      <c r="E4" s="84"/>
      <c r="F4" s="85"/>
      <c r="G4" s="84"/>
      <c r="H4" s="84"/>
      <c r="I4" s="84"/>
      <c r="J4" s="85"/>
      <c r="K4" s="84" t="s">
        <v>8</v>
      </c>
      <c r="L4" s="86"/>
      <c r="M4" s="87"/>
      <c r="N4" s="88" t="s">
        <v>9</v>
      </c>
      <c r="O4" s="89"/>
    </row>
    <row r="5" spans="2:15" ht="13.5" customHeight="1" thickBot="1">
      <c r="B5" s="90"/>
      <c r="C5" s="91" t="s">
        <v>183</v>
      </c>
      <c r="D5" s="94" t="s">
        <v>184</v>
      </c>
      <c r="E5" s="121" t="s">
        <v>181</v>
      </c>
      <c r="F5" s="121" t="s">
        <v>182</v>
      </c>
      <c r="G5" s="92" t="s">
        <v>183</v>
      </c>
      <c r="H5" s="94" t="s">
        <v>184</v>
      </c>
      <c r="I5" s="93" t="s">
        <v>181</v>
      </c>
      <c r="J5" s="121" t="s">
        <v>182</v>
      </c>
      <c r="K5" s="94" t="s">
        <v>184</v>
      </c>
      <c r="L5" s="282" t="s">
        <v>182</v>
      </c>
      <c r="M5" s="95"/>
      <c r="N5" s="96" t="s">
        <v>183</v>
      </c>
      <c r="O5" s="122" t="s">
        <v>184</v>
      </c>
    </row>
    <row r="6" spans="2:15" ht="13.5" customHeight="1">
      <c r="B6" s="82" t="s">
        <v>12</v>
      </c>
      <c r="C6" s="97">
        <f>C7+C14+C25+C26</f>
        <v>840.08783958</v>
      </c>
      <c r="D6" s="97">
        <f>D7+D14+D25+D26</f>
        <v>846.9104295300001</v>
      </c>
      <c r="E6" s="97">
        <f>C6/C39*100</f>
        <v>99.92916137958574</v>
      </c>
      <c r="F6" s="97">
        <f>D6/C6*100</f>
        <v>100.81212816428946</v>
      </c>
      <c r="G6" s="97">
        <f>G7+G14+G25+G26</f>
        <v>14244.914816490003</v>
      </c>
      <c r="H6" s="97">
        <f>H7+H14+H25+H26</f>
        <v>14196.92443832</v>
      </c>
      <c r="I6" s="97">
        <f>G6/D39*100</f>
        <v>100.00948514135585</v>
      </c>
      <c r="J6" s="97">
        <f>H6/G6*100</f>
        <v>99.66310519376044</v>
      </c>
      <c r="K6" s="97">
        <f aca="true" t="shared" si="0" ref="K6:K26">H6/D6</f>
        <v>16.763194717295782</v>
      </c>
      <c r="L6" s="98">
        <f aca="true" t="shared" si="1" ref="L6:L26">K6/K39*100</f>
        <v>98.86023339507672</v>
      </c>
      <c r="M6" s="99"/>
      <c r="N6" s="501">
        <f>G6/$G$6*100</f>
        <v>100</v>
      </c>
      <c r="O6" s="502">
        <f aca="true" t="shared" si="2" ref="O6:O26">H6/$H$6*100</f>
        <v>100</v>
      </c>
    </row>
    <row r="7" spans="2:15" ht="13.5" customHeight="1">
      <c r="B7" s="82" t="s">
        <v>13</v>
      </c>
      <c r="C7" s="97">
        <f>C8+C11</f>
        <v>217.50274</v>
      </c>
      <c r="D7" s="97">
        <f>D8+D11</f>
        <v>216.46752</v>
      </c>
      <c r="E7" s="97">
        <f aca="true" t="shared" si="3" ref="E7:E22">C7/C40*100</f>
        <v>98.80305356189152</v>
      </c>
      <c r="F7" s="97">
        <f aca="true" t="shared" si="4" ref="F7:F22">D7/C7*100</f>
        <v>99.52404277757606</v>
      </c>
      <c r="G7" s="97">
        <f>G8+G11</f>
        <v>3851.00803</v>
      </c>
      <c r="H7" s="97">
        <f>H8+H11</f>
        <v>3844.41463</v>
      </c>
      <c r="I7" s="97">
        <f aca="true" t="shared" si="5" ref="I7:I22">G7/D40*100</f>
        <v>99.01334601990499</v>
      </c>
      <c r="J7" s="97">
        <f aca="true" t="shared" si="6" ref="J7:J22">H7/G7*100</f>
        <v>99.828787684974</v>
      </c>
      <c r="K7" s="97">
        <f t="shared" si="0"/>
        <v>17.75977583149657</v>
      </c>
      <c r="L7" s="98">
        <f t="shared" si="1"/>
        <v>100.30620229935695</v>
      </c>
      <c r="M7" s="99"/>
      <c r="N7" s="501">
        <f aca="true" t="shared" si="7" ref="N7:N22">G7/$G$6*100</f>
        <v>27.034265066590983</v>
      </c>
      <c r="O7" s="502">
        <f t="shared" si="2"/>
        <v>27.079207519223303</v>
      </c>
    </row>
    <row r="8" spans="2:15" ht="13.5" customHeight="1">
      <c r="B8" s="82" t="s">
        <v>14</v>
      </c>
      <c r="C8" s="97">
        <f>C9+C10</f>
        <v>87.17511999999999</v>
      </c>
      <c r="D8" s="97">
        <f>D9+D10</f>
        <v>86.70971</v>
      </c>
      <c r="E8" s="97">
        <f t="shared" si="3"/>
        <v>99.46393945116063</v>
      </c>
      <c r="F8" s="97">
        <f t="shared" si="4"/>
        <v>99.46612060872415</v>
      </c>
      <c r="G8" s="97">
        <f>G9+G10</f>
        <v>2407.94748</v>
      </c>
      <c r="H8" s="97">
        <f>H9+H10</f>
        <v>2406.58831</v>
      </c>
      <c r="I8" s="97">
        <f t="shared" si="5"/>
        <v>99.17022161020705</v>
      </c>
      <c r="J8" s="97">
        <f t="shared" si="6"/>
        <v>99.9435548320182</v>
      </c>
      <c r="K8" s="97">
        <f t="shared" si="0"/>
        <v>27.75454225368762</v>
      </c>
      <c r="L8" s="98">
        <f t="shared" si="1"/>
        <v>100.47999682743449</v>
      </c>
      <c r="M8" s="99"/>
      <c r="N8" s="501">
        <f t="shared" si="7"/>
        <v>16.903909296899023</v>
      </c>
      <c r="O8" s="502">
        <f t="shared" si="2"/>
        <v>16.95147650081305</v>
      </c>
    </row>
    <row r="9" spans="2:15" ht="13.5" customHeight="1">
      <c r="B9" s="82" t="s">
        <v>15</v>
      </c>
      <c r="C9" s="97">
        <f>'2-1-3 旅客輸送機関分担率推移'!T39/100000</f>
        <v>54.55438</v>
      </c>
      <c r="D9" s="97">
        <f>IF('2-1-3 旅客輸送機関分担率推移'!$P$2="YES",'2-1-3 旅客輸送機関分担率推移'!$T$21/100000,'2-1-3 旅客輸送機関分担率推移'!$T$17/100000)</f>
        <v>54.11918</v>
      </c>
      <c r="E9" s="97">
        <f t="shared" si="3"/>
        <v>99.0013193067016</v>
      </c>
      <c r="F9" s="97">
        <f t="shared" si="4"/>
        <v>99.20226386955548</v>
      </c>
      <c r="G9" s="97">
        <f>'2-1-3 旅客輸送機関分担率推移'!AR39/100000</f>
        <v>1082.51716</v>
      </c>
      <c r="H9" s="97">
        <f>IF('2-1-3 旅客輸送機関分担率推移'!$P$2="YES",'2-1-3 旅客輸送機関分担率推移'!$AR$21/100000,'2-1-3 旅客輸送機関分担率推移'!$AR$17/100000)</f>
        <v>1078.25238</v>
      </c>
      <c r="I9" s="97">
        <f t="shared" si="5"/>
        <v>99.596166717016</v>
      </c>
      <c r="J9" s="97">
        <f t="shared" si="6"/>
        <v>99.6060311875333</v>
      </c>
      <c r="K9" s="97">
        <f t="shared" si="0"/>
        <v>19.923664401419238</v>
      </c>
      <c r="L9" s="98">
        <f t="shared" si="1"/>
        <v>100.40701421744646</v>
      </c>
      <c r="M9" s="99"/>
      <c r="N9" s="501">
        <f t="shared" si="7"/>
        <v>7.599323505584403</v>
      </c>
      <c r="O9" s="502">
        <f t="shared" si="2"/>
        <v>7.59497160588956</v>
      </c>
    </row>
    <row r="10" spans="2:15" ht="13.5" customHeight="1">
      <c r="B10" s="82" t="s">
        <v>16</v>
      </c>
      <c r="C10" s="97">
        <f>'2-1-3 旅客輸送機関分担率推移'!U39/100000</f>
        <v>32.62074</v>
      </c>
      <c r="D10" s="97">
        <f>IF('2-1-3 旅客輸送機関分担率推移'!$P$2="YES",'2-1-3 旅客輸送機関分担率推移'!$U$21/100000,'2-1-3 旅客輸送機関分担率推移'!$U$17/100000)</f>
        <v>32.59053</v>
      </c>
      <c r="E10" s="97">
        <f t="shared" si="3"/>
        <v>100.24735519856178</v>
      </c>
      <c r="F10" s="97">
        <f t="shared" si="4"/>
        <v>99.90739020635338</v>
      </c>
      <c r="G10" s="97">
        <f>'2-1-3 旅客輸送機関分担率推移'!AS39/100000</f>
        <v>1325.43032</v>
      </c>
      <c r="H10" s="97">
        <f>IF('2-1-3 旅客輸送機関分担率推移'!$P$2="YES",'2-1-3 旅客輸送機関分担率推移'!$AS$21/100000,'2-1-3 旅客輸送機関分担率推移'!$AS$17/100000)</f>
        <v>1328.33593</v>
      </c>
      <c r="I10" s="97">
        <f t="shared" si="5"/>
        <v>98.82503346806851</v>
      </c>
      <c r="J10" s="97">
        <f t="shared" si="6"/>
        <v>100.21922012467618</v>
      </c>
      <c r="K10" s="97">
        <f t="shared" si="0"/>
        <v>40.75834084318358</v>
      </c>
      <c r="L10" s="98">
        <f t="shared" si="1"/>
        <v>100.31211897105783</v>
      </c>
      <c r="M10" s="99"/>
      <c r="N10" s="501">
        <f t="shared" si="7"/>
        <v>9.304585791314619</v>
      </c>
      <c r="O10" s="502">
        <f t="shared" si="2"/>
        <v>9.35650489492349</v>
      </c>
    </row>
    <row r="11" spans="2:15" ht="13.5" customHeight="1">
      <c r="B11" s="82" t="s">
        <v>17</v>
      </c>
      <c r="C11" s="97">
        <f>C12+C13</f>
        <v>130.32762</v>
      </c>
      <c r="D11" s="97">
        <f>D12+D13</f>
        <v>129.75781</v>
      </c>
      <c r="E11" s="97">
        <f t="shared" si="3"/>
        <v>98.3658724796351</v>
      </c>
      <c r="F11" s="97">
        <f t="shared" si="4"/>
        <v>99.56278646076711</v>
      </c>
      <c r="G11" s="97">
        <f>G12+G13</f>
        <v>1443.06055</v>
      </c>
      <c r="H11" s="97">
        <f>H12+H13</f>
        <v>1437.8263200000001</v>
      </c>
      <c r="I11" s="97">
        <f t="shared" si="5"/>
        <v>98.75267939233503</v>
      </c>
      <c r="J11" s="97">
        <f t="shared" si="6"/>
        <v>99.637282718317</v>
      </c>
      <c r="K11" s="97">
        <f t="shared" si="0"/>
        <v>11.080846077781368</v>
      </c>
      <c r="L11" s="98">
        <f t="shared" si="1"/>
        <v>100.07482339556582</v>
      </c>
      <c r="M11" s="99"/>
      <c r="N11" s="501">
        <f t="shared" si="7"/>
        <v>10.13035576969196</v>
      </c>
      <c r="O11" s="502">
        <f t="shared" si="2"/>
        <v>10.127731018410252</v>
      </c>
    </row>
    <row r="12" spans="2:15" ht="13.5" customHeight="1">
      <c r="B12" s="82" t="s">
        <v>15</v>
      </c>
      <c r="C12" s="97">
        <f>'2-1-3 旅客輸送機関分担率推移'!W39/100000</f>
        <v>76.28935</v>
      </c>
      <c r="D12" s="97">
        <f>IF('2-1-3 旅客輸送機関分担率推移'!$P$2="YES",'2-1-3 旅客輸送機関分担率推移'!$W$21/100000,'2-1-3 旅客輸送機関分担率推移'!$W$17/100000)</f>
        <v>75.22489</v>
      </c>
      <c r="E12" s="97">
        <f t="shared" si="3"/>
        <v>96.93501550287327</v>
      </c>
      <c r="F12" s="97">
        <f t="shared" si="4"/>
        <v>98.60470694795539</v>
      </c>
      <c r="G12" s="97">
        <f>'2-1-3 旅客輸送機関分担率推移'!AU39/100000</f>
        <v>919.13654</v>
      </c>
      <c r="H12" s="97">
        <f>IF('2-1-3 旅客輸送機関分担率推移'!$P$2="YES",'2-1-3 旅客輸送機関分担率推移'!$AU$21/100000,'2-1-3 旅客輸送機関分担率推移'!$AU$17/100000)</f>
        <v>908.05744</v>
      </c>
      <c r="I12" s="97">
        <f t="shared" si="5"/>
        <v>97.60650768571044</v>
      </c>
      <c r="J12" s="97">
        <f t="shared" si="6"/>
        <v>98.79461869723949</v>
      </c>
      <c r="K12" s="97">
        <f t="shared" si="0"/>
        <v>12.071236528228889</v>
      </c>
      <c r="L12" s="98">
        <f t="shared" si="1"/>
        <v>100.19259907073639</v>
      </c>
      <c r="M12" s="99"/>
      <c r="N12" s="501">
        <f t="shared" si="7"/>
        <v>6.452383547678374</v>
      </c>
      <c r="O12" s="502">
        <f t="shared" si="2"/>
        <v>6.396156040311047</v>
      </c>
    </row>
    <row r="13" spans="2:15" ht="13.5" customHeight="1">
      <c r="B13" s="82" t="s">
        <v>16</v>
      </c>
      <c r="C13" s="97">
        <f>'2-1-3 旅客輸送機関分担率推移'!X39/100000</f>
        <v>54.03827</v>
      </c>
      <c r="D13" s="97">
        <f>IF('2-1-3 旅客輸送機関分担率推移'!$P$2="YES",'2-1-3 旅客輸送機関分担率推移'!$X$21/100000,'2-1-3 旅客輸送機関分担率推移'!$X$17/100000)</f>
        <v>54.53292</v>
      </c>
      <c r="E13" s="97">
        <f t="shared" si="3"/>
        <v>100.4593503990803</v>
      </c>
      <c r="F13" s="97">
        <f t="shared" si="4"/>
        <v>100.91536979255629</v>
      </c>
      <c r="G13" s="97">
        <f>'2-1-3 旅客輸送機関分担率推移'!AV39/100000</f>
        <v>523.92401</v>
      </c>
      <c r="H13" s="97">
        <f>IF('2-1-3 旅客輸送機関分担率推移'!$P$2="YES",'2-1-3 旅客輸送機関分担率推移'!$AV$21/100000,'2-1-3 旅客輸送機関分担率推移'!$AV$17/100000)</f>
        <v>529.76888</v>
      </c>
      <c r="I13" s="97">
        <f t="shared" si="5"/>
        <v>100.82984800851989</v>
      </c>
      <c r="J13" s="97">
        <f t="shared" si="6"/>
        <v>101.11559498867022</v>
      </c>
      <c r="K13" s="97">
        <f t="shared" si="0"/>
        <v>9.71466189597036</v>
      </c>
      <c r="L13" s="98">
        <f t="shared" si="1"/>
        <v>100.19840901988024</v>
      </c>
      <c r="M13" s="99"/>
      <c r="N13" s="501">
        <f t="shared" si="7"/>
        <v>3.677972222013586</v>
      </c>
      <c r="O13" s="502">
        <f t="shared" si="2"/>
        <v>3.731574978099203</v>
      </c>
    </row>
    <row r="14" spans="2:15" ht="13.5" customHeight="1">
      <c r="B14" s="82" t="s">
        <v>18</v>
      </c>
      <c r="C14" s="97">
        <f>C15+C20+C23+C24</f>
        <v>620.4683</v>
      </c>
      <c r="D14" s="97">
        <f>D15+D20+D23+D24</f>
        <v>628.4129</v>
      </c>
      <c r="E14" s="97">
        <f t="shared" si="3"/>
        <v>100.33609214276676</v>
      </c>
      <c r="F14" s="97">
        <f t="shared" si="4"/>
        <v>101.28041996666066</v>
      </c>
      <c r="G14" s="97">
        <f>G15+G20+G23+G24</f>
        <v>9555.634150000002</v>
      </c>
      <c r="H14" s="97">
        <f>H15+H20+H23+H24</f>
        <v>9512.491610000001</v>
      </c>
      <c r="I14" s="97">
        <f t="shared" si="5"/>
        <v>100.0791751262476</v>
      </c>
      <c r="J14" s="97">
        <f t="shared" si="6"/>
        <v>99.54851201581424</v>
      </c>
      <c r="K14" s="97">
        <f t="shared" si="0"/>
        <v>15.13732708224163</v>
      </c>
      <c r="L14" s="98">
        <f t="shared" si="1"/>
        <v>98.28998739201859</v>
      </c>
      <c r="M14" s="99"/>
      <c r="N14" s="501">
        <f t="shared" si="7"/>
        <v>67.08101995063066</v>
      </c>
      <c r="O14" s="502">
        <f t="shared" si="2"/>
        <v>67.0038898307024</v>
      </c>
    </row>
    <row r="15" spans="2:15" ht="13.5" customHeight="1">
      <c r="B15" s="82" t="s">
        <v>19</v>
      </c>
      <c r="C15" s="97">
        <f>C16+C19</f>
        <v>68.64126999999999</v>
      </c>
      <c r="D15" s="97">
        <f>D16+D19</f>
        <v>66.35239</v>
      </c>
      <c r="E15" s="97">
        <f t="shared" si="3"/>
        <v>97.40214663888635</v>
      </c>
      <c r="F15" s="97">
        <f t="shared" si="4"/>
        <v>96.6654463124007</v>
      </c>
      <c r="G15" s="97">
        <f>G16+G19</f>
        <v>886.8635800000001</v>
      </c>
      <c r="H15" s="97">
        <f>H16+H19</f>
        <v>873.04008</v>
      </c>
      <c r="I15" s="97">
        <f t="shared" si="5"/>
        <v>98.06855725928429</v>
      </c>
      <c r="J15" s="97">
        <f t="shared" si="6"/>
        <v>98.44130480586428</v>
      </c>
      <c r="K15" s="97">
        <f t="shared" si="0"/>
        <v>13.157628233135235</v>
      </c>
      <c r="L15" s="98">
        <f t="shared" si="1"/>
        <v>101.83711818566937</v>
      </c>
      <c r="M15" s="99"/>
      <c r="N15" s="501">
        <f t="shared" si="7"/>
        <v>6.225825787131849</v>
      </c>
      <c r="O15" s="502">
        <f t="shared" si="2"/>
        <v>6.149501490925112</v>
      </c>
    </row>
    <row r="16" spans="2:15" ht="13.5" customHeight="1">
      <c r="B16" s="82" t="s">
        <v>20</v>
      </c>
      <c r="C16" s="97">
        <f>C17+C18</f>
        <v>51.88744</v>
      </c>
      <c r="D16" s="97">
        <f>D17+D18</f>
        <v>50.577380000000005</v>
      </c>
      <c r="E16" s="97">
        <f t="shared" si="3"/>
        <v>95.74428942662597</v>
      </c>
      <c r="F16" s="97">
        <f t="shared" si="4"/>
        <v>97.47518860055537</v>
      </c>
      <c r="G16" s="97">
        <f>G17+G18</f>
        <v>693.94091</v>
      </c>
      <c r="H16" s="97">
        <f>H17+H18</f>
        <v>695.27467</v>
      </c>
      <c r="I16" s="97">
        <f t="shared" si="5"/>
        <v>98.25841944585859</v>
      </c>
      <c r="J16" s="97">
        <f t="shared" si="6"/>
        <v>100.19220080280323</v>
      </c>
      <c r="K16" s="97">
        <f t="shared" si="0"/>
        <v>13.746751413378865</v>
      </c>
      <c r="L16" s="98">
        <f t="shared" si="1"/>
        <v>102.78738850496809</v>
      </c>
      <c r="M16" s="99"/>
      <c r="N16" s="501">
        <f t="shared" si="7"/>
        <v>4.8714991906914715</v>
      </c>
      <c r="O16" s="502">
        <f t="shared" si="2"/>
        <v>4.8973612067930095</v>
      </c>
    </row>
    <row r="17" spans="2:15" ht="13.5" customHeight="1">
      <c r="B17" s="82" t="s">
        <v>21</v>
      </c>
      <c r="C17" s="97">
        <f>'2-1-3 旅客輸送機関分担率推移'!AB39/100000</f>
        <v>49.3713</v>
      </c>
      <c r="D17" s="97">
        <f>IF('2-1-3 旅客輸送機関分担率推移'!$P$2="YES",'2-1-3 旅客輸送機関分担率推移'!$AB$21/100000,'2-1-3 旅客輸送機関分担率推移'!$AB$17/100000)</f>
        <v>48.03027</v>
      </c>
      <c r="E17" s="97">
        <f t="shared" si="3"/>
        <v>95.46775065570715</v>
      </c>
      <c r="F17" s="97">
        <f t="shared" si="4"/>
        <v>97.28378632930469</v>
      </c>
      <c r="G17" s="97">
        <f>'2-1-3 旅客輸送機関分担率推移'!AZ39/100000</f>
        <v>265.57152</v>
      </c>
      <c r="H17" s="97">
        <f>IF('2-1-3 旅客輸送機関分担率推移'!$P$2="YES",'2-1-3 旅客輸送機関分担率推移'!$AZ$21/100000,'2-1-3 旅客輸送機関分担率推移'!$AZ$17/100000)</f>
        <v>269.77823</v>
      </c>
      <c r="I17" s="97">
        <f t="shared" si="5"/>
        <v>94.4453526854216</v>
      </c>
      <c r="J17" s="97">
        <f t="shared" si="6"/>
        <v>101.58402150953536</v>
      </c>
      <c r="K17" s="97">
        <f t="shared" si="0"/>
        <v>5.616837673408873</v>
      </c>
      <c r="L17" s="98">
        <f t="shared" si="1"/>
        <v>104.42029997236581</v>
      </c>
      <c r="M17" s="99"/>
      <c r="N17" s="501">
        <f t="shared" si="7"/>
        <v>1.8643250831698395</v>
      </c>
      <c r="O17" s="502">
        <f t="shared" si="2"/>
        <v>1.9002582648944797</v>
      </c>
    </row>
    <row r="18" spans="2:15" ht="13.5" customHeight="1">
      <c r="B18" s="82" t="s">
        <v>22</v>
      </c>
      <c r="C18" s="97">
        <f>'2-1-3 旅客輸送機関分担率推移'!AC39/100000</f>
        <v>2.51614</v>
      </c>
      <c r="D18" s="97">
        <f>IF('2-1-3 旅客輸送機関分担率推移'!$P$2="YES",'2-1-3 旅客輸送機関分担率推移'!$AC$21/100000,'2-1-3 旅客輸送機関分担率推移'!$AC$17/100000)</f>
        <v>2.54711</v>
      </c>
      <c r="E18" s="97">
        <f t="shared" si="3"/>
        <v>101.51415511113082</v>
      </c>
      <c r="F18" s="97">
        <f t="shared" si="4"/>
        <v>101.23085360909965</v>
      </c>
      <c r="G18" s="97">
        <f>'2-1-3 旅客輸送機関分担率推移'!BA39/100000</f>
        <v>428.36939</v>
      </c>
      <c r="H18" s="97">
        <f>IF('2-1-3 旅客輸送機関分担率推移'!$P$2="YES",'2-1-3 旅客輸送機関分担率推移'!$BA$21/100000,'2-1-3 旅客輸送機関分担率推移'!$BA$17/100000)</f>
        <v>425.49644</v>
      </c>
      <c r="I18" s="97">
        <f t="shared" si="5"/>
        <v>100.78094343679436</v>
      </c>
      <c r="J18" s="97">
        <f t="shared" si="6"/>
        <v>99.32932882996145</v>
      </c>
      <c r="K18" s="97">
        <f t="shared" si="0"/>
        <v>167.05067311580575</v>
      </c>
      <c r="L18" s="98">
        <f t="shared" si="1"/>
        <v>98.12159562885748</v>
      </c>
      <c r="M18" s="99"/>
      <c r="N18" s="501">
        <f t="shared" si="7"/>
        <v>3.007174107521632</v>
      </c>
      <c r="O18" s="502">
        <f t="shared" si="2"/>
        <v>2.9971029418985293</v>
      </c>
    </row>
    <row r="19" spans="2:15" ht="13.5" customHeight="1">
      <c r="B19" s="82" t="s">
        <v>23</v>
      </c>
      <c r="C19" s="97">
        <f>'2-1-3 旅客輸送機関分担率推移'!AD39/100000</f>
        <v>16.75383</v>
      </c>
      <c r="D19" s="97">
        <f>IF('2-1-3 旅客輸送機関分担率推移'!$P$2="YES",'2-1-3 旅客輸送機関分担率推移'!$AD$21/100000,'2-1-3 旅客輸送機関分担率推移'!$AD$17/100000)</f>
        <v>15.77501</v>
      </c>
      <c r="E19" s="97">
        <f t="shared" si="3"/>
        <v>102.92150389537949</v>
      </c>
      <c r="F19" s="97">
        <f t="shared" si="4"/>
        <v>94.15763440359606</v>
      </c>
      <c r="G19" s="97">
        <f>'2-1-3 旅客輸送機関分担率推移'!BB39/100000</f>
        <v>192.92267</v>
      </c>
      <c r="H19" s="97">
        <f>IF('2-1-3 旅客輸送機関分担率推移'!$P$2="YES",'2-1-3 旅客輸送機関分担率推移'!$BB$21/100000,'2-1-3 旅客輸送機関分担率推移'!$BB$17/100000)</f>
        <v>177.76541</v>
      </c>
      <c r="I19" s="97">
        <f t="shared" si="5"/>
        <v>97.39164925114169</v>
      </c>
      <c r="J19" s="97">
        <f t="shared" si="6"/>
        <v>92.14334945706484</v>
      </c>
      <c r="K19" s="97">
        <f t="shared" si="0"/>
        <v>11.268798561775872</v>
      </c>
      <c r="L19" s="98">
        <f t="shared" si="1"/>
        <v>97.86073114592362</v>
      </c>
      <c r="M19" s="99"/>
      <c r="N19" s="501">
        <f t="shared" si="7"/>
        <v>1.3543265964403768</v>
      </c>
      <c r="O19" s="502">
        <f t="shared" si="2"/>
        <v>1.252140284132103</v>
      </c>
    </row>
    <row r="20" spans="2:15" ht="13.5" customHeight="1">
      <c r="B20" s="82" t="s">
        <v>24</v>
      </c>
      <c r="C20" s="97">
        <f>C21+C22</f>
        <v>384.51700999999997</v>
      </c>
      <c r="D20" s="97">
        <f>D21+D22</f>
        <v>389.38082</v>
      </c>
      <c r="E20" s="97">
        <f t="shared" si="3"/>
        <v>99.99484054649118</v>
      </c>
      <c r="F20" s="97">
        <f t="shared" si="4"/>
        <v>101.26491413214724</v>
      </c>
      <c r="G20" s="97">
        <f>G21+G22</f>
        <v>6449.29826</v>
      </c>
      <c r="H20" s="97">
        <f>H21+H22</f>
        <v>6430.10037</v>
      </c>
      <c r="I20" s="97">
        <f t="shared" si="5"/>
        <v>100.16834057323261</v>
      </c>
      <c r="J20" s="97">
        <f t="shared" si="6"/>
        <v>99.70232590855552</v>
      </c>
      <c r="K20" s="97">
        <f t="shared" si="0"/>
        <v>16.51365460168274</v>
      </c>
      <c r="L20" s="98">
        <f t="shared" si="1"/>
        <v>98.4569302833234</v>
      </c>
      <c r="M20" s="99"/>
      <c r="N20" s="501">
        <f t="shared" si="7"/>
        <v>45.274389795116576</v>
      </c>
      <c r="O20" s="502">
        <f t="shared" si="2"/>
        <v>45.292206758838745</v>
      </c>
    </row>
    <row r="21" spans="2:15" ht="13.5" customHeight="1">
      <c r="B21" s="82" t="s">
        <v>20</v>
      </c>
      <c r="C21" s="97">
        <f>'2-1-3 旅客輸送機関分担率推移'!AF39/100000</f>
        <v>24.65979</v>
      </c>
      <c r="D21" s="97">
        <f>IF('2-1-3 旅客輸送機関分担率推移'!$P$2="YES",'2-1-3 旅客輸送機関分担率推移'!$AF$21/100000,'2-1-3 旅客輸送機関分担率推移'!$AF$17/100000)</f>
        <v>24.33069</v>
      </c>
      <c r="E21" s="97">
        <f t="shared" si="3"/>
        <v>98.05904270336688</v>
      </c>
      <c r="F21" s="97">
        <f t="shared" si="4"/>
        <v>98.66543875677773</v>
      </c>
      <c r="G21" s="97">
        <f>'2-1-3 旅客輸送機関分担率推移'!BD39/100000</f>
        <v>121.15154</v>
      </c>
      <c r="H21" s="97">
        <f>IF('2-1-3 旅客輸送機関分担率推移'!$P$2="YES",'2-1-3 旅客輸送機関分担率推移'!$BD$21/100000,'2-1-3 旅客輸送機関分担率推移'!$BD$17/100000)</f>
        <v>120.52263</v>
      </c>
      <c r="I21" s="97">
        <f t="shared" si="5"/>
        <v>98.14743899199527</v>
      </c>
      <c r="J21" s="97">
        <f t="shared" si="6"/>
        <v>99.48088980131826</v>
      </c>
      <c r="K21" s="97">
        <f t="shared" si="0"/>
        <v>4.953522896391348</v>
      </c>
      <c r="L21" s="98">
        <f t="shared" si="1"/>
        <v>100.82648093883282</v>
      </c>
      <c r="M21" s="99"/>
      <c r="N21" s="501">
        <f t="shared" si="7"/>
        <v>0.8504897471184188</v>
      </c>
      <c r="O21" s="502">
        <f t="shared" si="2"/>
        <v>0.8489347853024293</v>
      </c>
    </row>
    <row r="22" spans="2:15" ht="13.5" customHeight="1">
      <c r="B22" s="82" t="s">
        <v>23</v>
      </c>
      <c r="C22" s="97">
        <f>'2-1-3 旅客輸送機関分担率推移'!AG39/100000</f>
        <v>359.85722</v>
      </c>
      <c r="D22" s="97">
        <f>IF('2-1-3 旅客輸送機関分担率推移'!$P$2="YES",'2-1-3 旅客輸送機関分担率推移'!$AG$21/100000,'2-1-3 旅客輸送機関分担率推移'!$AG$17/100000)</f>
        <v>365.05013</v>
      </c>
      <c r="E22" s="97">
        <f t="shared" si="3"/>
        <v>100.13029615963427</v>
      </c>
      <c r="F22" s="97">
        <f t="shared" si="4"/>
        <v>101.44304732860438</v>
      </c>
      <c r="G22" s="97">
        <f>'2-1-3 旅客輸送機関分担率推移'!BE39/100000</f>
        <v>6328.14672</v>
      </c>
      <c r="H22" s="97">
        <f>IF('2-1-3 旅客輸送機関分担率推移'!$P$2="YES",'2-1-3 旅客輸送機関分担率推移'!$BE$21/100000,'2-1-3 旅客輸送機関分担率推移'!$BE$17/100000)</f>
        <v>6309.57774</v>
      </c>
      <c r="I22" s="97">
        <f t="shared" si="5"/>
        <v>100.20784268409946</v>
      </c>
      <c r="J22" s="97">
        <f t="shared" si="6"/>
        <v>99.7065652738216</v>
      </c>
      <c r="K22" s="97">
        <f t="shared" si="0"/>
        <v>17.284140509688353</v>
      </c>
      <c r="L22" s="98">
        <f t="shared" si="1"/>
        <v>98.28821974446625</v>
      </c>
      <c r="M22" s="99"/>
      <c r="N22" s="501">
        <f t="shared" si="7"/>
        <v>44.42390004799816</v>
      </c>
      <c r="O22" s="502">
        <f t="shared" si="2"/>
        <v>44.443271973536305</v>
      </c>
    </row>
    <row r="23" spans="2:15" ht="13.5" customHeight="1">
      <c r="B23" s="82" t="s">
        <v>25</v>
      </c>
      <c r="C23" s="97">
        <f>'2-1-3 旅客輸送機関分担率推移'!AH39/100000</f>
        <v>141.51779</v>
      </c>
      <c r="D23" s="97">
        <f>IF('2-1-3 旅客輸送機関分担率推移'!$P$2="YES",'2-1-3 旅客輸送機関分担率推移'!$AH$21/100000,'2-1-3 旅客輸送機関分担率推移'!$AH$17/100000)</f>
        <v>147.83055</v>
      </c>
      <c r="E23" s="97">
        <f>C23/C56*100</f>
        <v>103.82109714026807</v>
      </c>
      <c r="F23" s="97">
        <f>D23/C23*100</f>
        <v>104.46075366213674</v>
      </c>
      <c r="G23" s="97">
        <f>'2-1-3 旅客輸送機関分担率推移'!BF39/100000</f>
        <v>1572.48574</v>
      </c>
      <c r="H23" s="97">
        <f>IF('2-1-3 旅客輸送機関分担率推移'!$P$2="YES",'2-1-3 旅客輸送機関分担率推移'!$BF$21/100000,'2-1-3 旅客輸送機関分担率推移'!$BF$17/100000)</f>
        <v>1615.04352</v>
      </c>
      <c r="I23" s="97">
        <f>G23/D56*100</f>
        <v>103.54511940641724</v>
      </c>
      <c r="J23" s="97">
        <f>H23/G23*100</f>
        <v>102.70640164914944</v>
      </c>
      <c r="K23" s="97">
        <f t="shared" si="0"/>
        <v>10.92496456246696</v>
      </c>
      <c r="L23" s="98">
        <f t="shared" si="1"/>
        <v>98.32056351166915</v>
      </c>
      <c r="M23" s="99"/>
      <c r="N23" s="501">
        <f>G23/$G$6*100</f>
        <v>11.03892694521192</v>
      </c>
      <c r="O23" s="502">
        <f t="shared" si="2"/>
        <v>11.376009832388153</v>
      </c>
    </row>
    <row r="24" spans="2:15" ht="13.5" customHeight="1">
      <c r="B24" s="100" t="s">
        <v>26</v>
      </c>
      <c r="C24" s="97">
        <f>'2-1-3 旅客輸送機関分担率推移'!AI39/100000</f>
        <v>25.79223</v>
      </c>
      <c r="D24" s="97">
        <f>IF('2-1-3 旅客輸送機関分担率推移'!$P$2="YES",'2-1-3 旅客輸送機関分担率推移'!$AI$21/100000,'2-1-3 旅客輸送機関分担率推移'!$AI$17/100000)</f>
        <v>24.84914</v>
      </c>
      <c r="E24" s="97">
        <f>C24/C57*100</f>
        <v>95.27349143647001</v>
      </c>
      <c r="F24" s="97">
        <f>D24/C24*100</f>
        <v>96.34351120473103</v>
      </c>
      <c r="G24" s="97">
        <f>'2-1-3 旅客輸送機関分担率推移'!BG39/100000</f>
        <v>646.98657</v>
      </c>
      <c r="H24" s="97">
        <f>IF('2-1-3 旅客輸送機関分担率推移'!$P$2="YES",'2-1-3 旅客輸送機関分担率推移'!$BG$21/100000,'2-1-3 旅客輸送機関分担率推移'!$BG$17/100000)</f>
        <v>594.30764</v>
      </c>
      <c r="I24" s="97">
        <f>G24/D57*100</f>
        <v>94.22546133459491</v>
      </c>
      <c r="J24" s="97">
        <f>H24/G24*100</f>
        <v>91.85780162330109</v>
      </c>
      <c r="K24" s="97">
        <f t="shared" si="0"/>
        <v>23.916628100610325</v>
      </c>
      <c r="L24" s="98">
        <f t="shared" si="1"/>
        <v>95.3440459815734</v>
      </c>
      <c r="M24" s="99"/>
      <c r="N24" s="501">
        <f>G24/$G$6*100</f>
        <v>4.541877423170297</v>
      </c>
      <c r="O24" s="502">
        <f t="shared" si="2"/>
        <v>4.186171748550404</v>
      </c>
    </row>
    <row r="25" spans="2:15" ht="13.5" customHeight="1">
      <c r="B25" s="82" t="s">
        <v>27</v>
      </c>
      <c r="C25" s="101">
        <f>'2-1-3 旅客輸送機関分担率推移'!AJ39/100000</f>
        <v>0.91588958</v>
      </c>
      <c r="D25" s="101">
        <f>IF('2-1-3 旅客輸送機関分担率推移'!$P$2="YES",'2-1-3 旅客輸送機関分担率推移'!$AJ$21/100000,'2-1-3 旅客輸送機関分担率推移'!$AJ$17/100000)</f>
        <v>0.92872663</v>
      </c>
      <c r="E25" s="97">
        <f>C25/C58*100</f>
        <v>104.18375151563832</v>
      </c>
      <c r="F25" s="97">
        <f>D25/C25*100</f>
        <v>101.40159362878656</v>
      </c>
      <c r="G25" s="97">
        <f>'2-1-3 旅客輸送機関分担率推移'!BH39/100000</f>
        <v>793.4819764900001</v>
      </c>
      <c r="H25" s="97">
        <f>IF('2-1-3 旅客輸送機関分担率推移'!$P$2="YES",'2-1-3 旅客輸送機関分担率推移'!$BH$21/100000,'2-1-3 旅客輸送機関分担率推移'!$BH$17/100000)</f>
        <v>796.9800507599999</v>
      </c>
      <c r="I25" s="97">
        <f>G25/D58*100</f>
        <v>104.41860841555129</v>
      </c>
      <c r="J25" s="97">
        <f>H25/G25*100</f>
        <v>100.44085113129775</v>
      </c>
      <c r="K25" s="97">
        <f t="shared" si="0"/>
        <v>858.1427785267662</v>
      </c>
      <c r="L25" s="98">
        <f t="shared" si="1"/>
        <v>99.05253708239938</v>
      </c>
      <c r="M25" s="99"/>
      <c r="N25" s="501">
        <f>G25/$G$6*100</f>
        <v>5.570282354875582</v>
      </c>
      <c r="O25" s="502">
        <f t="shared" si="2"/>
        <v>5.613751444705942</v>
      </c>
    </row>
    <row r="26" spans="2:15" ht="13.5" customHeight="1" thickBot="1">
      <c r="B26" s="90" t="s">
        <v>28</v>
      </c>
      <c r="C26" s="114">
        <f>'2-1-3 旅客輸送機関分担率推移'!AK39/100000</f>
        <v>1.20091</v>
      </c>
      <c r="D26" s="114">
        <f>IF('2-1-3 旅客輸送機関分担率推移'!$P$2="YES",'2-1-3 旅客輸送機関分担率推移'!$AK$21/100000,'2-1-3 旅客輸送機関分担率推移'!$AK$17/100000)</f>
        <v>1.1012829</v>
      </c>
      <c r="E26" s="514">
        <f>C26/C59*100</f>
        <v>94.06741294530559</v>
      </c>
      <c r="F26" s="514">
        <f>D26/C26*100</f>
        <v>91.70403277514552</v>
      </c>
      <c r="G26" s="514">
        <f>'2-1-3 旅客輸送機関分担率推移'!BI39/100000</f>
        <v>44.79066</v>
      </c>
      <c r="H26" s="514">
        <f>IF('2-1-3 旅客輸送機関分担率推移'!$P$2="YES",'2-1-3 旅客輸送機関分担率推移'!$BI$21/100000,'2-1-3 旅客輸送機関分担率推移'!$BI$17/100000)</f>
        <v>43.03814756</v>
      </c>
      <c r="I26" s="514">
        <f>G26/D59*100</f>
        <v>96.94569596515244</v>
      </c>
      <c r="J26" s="514">
        <f>H26/G26*100</f>
        <v>96.08732615237193</v>
      </c>
      <c r="K26" s="514">
        <f t="shared" si="0"/>
        <v>39.08001074020127</v>
      </c>
      <c r="L26" s="102">
        <f t="shared" si="1"/>
        <v>104.7798261914763</v>
      </c>
      <c r="M26" s="99"/>
      <c r="N26" s="503">
        <f>G26/$G$6*100</f>
        <v>0.31443262790276605</v>
      </c>
      <c r="O26" s="504">
        <f t="shared" si="2"/>
        <v>0.3031512053683434</v>
      </c>
    </row>
    <row r="27" spans="2:13" ht="15.75" customHeight="1" thickBot="1">
      <c r="B27" s="103" t="s">
        <v>180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2:16" ht="13.5" customHeight="1">
      <c r="B28" s="103" t="s">
        <v>29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76" t="s">
        <v>30</v>
      </c>
      <c r="O28" s="104">
        <f>SUM(N23:N24)</f>
        <v>15.580804368382218</v>
      </c>
      <c r="P28" s="293">
        <f>SUM(O23:O24)</f>
        <v>15.562181580938557</v>
      </c>
    </row>
    <row r="29" spans="2:16" ht="13.5" customHeight="1">
      <c r="B29" s="103" t="s">
        <v>31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82" t="s">
        <v>32</v>
      </c>
      <c r="O29" s="105">
        <f>SUM(N7,N16,N21,N25:N26)</f>
        <v>38.64096898717922</v>
      </c>
      <c r="P29" s="294">
        <f>SUM(O7,O16,O21,O25:O26)</f>
        <v>38.74240616139303</v>
      </c>
    </row>
    <row r="30" spans="2:16" ht="13.5" customHeight="1" thickBot="1">
      <c r="B30" s="106" t="s">
        <v>33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0" t="s">
        <v>34</v>
      </c>
      <c r="O30" s="107">
        <f>100-O29</f>
        <v>61.35903101282078</v>
      </c>
      <c r="P30" s="295">
        <f>100-P29</f>
        <v>61.25759383860697</v>
      </c>
    </row>
    <row r="31" spans="2:13" ht="13.5" customHeight="1">
      <c r="B31" s="103" t="s">
        <v>35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4" ht="13.5" customHeight="1">
      <c r="B32" s="103" t="s">
        <v>36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252" t="s">
        <v>37</v>
      </c>
    </row>
    <row r="33" spans="2:17" ht="11.25">
      <c r="B33" s="10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285" t="s">
        <v>11</v>
      </c>
      <c r="P33" s="285" t="s">
        <v>179</v>
      </c>
      <c r="Q33" s="253" t="s">
        <v>0</v>
      </c>
    </row>
    <row r="34" spans="2:17" ht="12.75" customHeight="1">
      <c r="B34" s="10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 t="s">
        <v>38</v>
      </c>
      <c r="O34" s="117">
        <f>C19+C22+C23+C24</f>
        <v>543.92107</v>
      </c>
      <c r="P34" s="117">
        <f>D19+D22+D23+D24</f>
        <v>553.5048300000001</v>
      </c>
      <c r="Q34" s="251">
        <f>P34/O34*100-100</f>
        <v>1.7619762367359755</v>
      </c>
    </row>
    <row r="35" spans="2:17" ht="11.25">
      <c r="B35" s="10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 t="s">
        <v>39</v>
      </c>
      <c r="O35" s="117">
        <f>G19+G22+G23+G24</f>
        <v>8740.5417</v>
      </c>
      <c r="P35" s="117">
        <f>H19+H22+H23+H24</f>
        <v>8696.694309999999</v>
      </c>
      <c r="Q35" s="251">
        <f>P35/O35*100-100</f>
        <v>-0.5016552921428286</v>
      </c>
    </row>
    <row r="37" ht="12" thickBot="1"/>
    <row r="38" spans="2:11" ht="12" thickBot="1">
      <c r="B38" s="109"/>
      <c r="C38" s="110" t="s">
        <v>10</v>
      </c>
      <c r="D38" s="111" t="s">
        <v>10</v>
      </c>
      <c r="K38" s="130" t="s">
        <v>40</v>
      </c>
    </row>
    <row r="39" spans="2:11" ht="11.25">
      <c r="B39" s="82" t="s">
        <v>12</v>
      </c>
      <c r="C39" s="97">
        <v>840.68336808</v>
      </c>
      <c r="D39" s="98">
        <v>14243.56379433</v>
      </c>
      <c r="K39" s="112">
        <f>G6/C6</f>
        <v>16.956458771753816</v>
      </c>
    </row>
    <row r="40" spans="2:11" ht="11.25">
      <c r="B40" s="82" t="s">
        <v>13</v>
      </c>
      <c r="C40" s="97">
        <v>220.13766999999999</v>
      </c>
      <c r="D40" s="98">
        <v>3889.3827800000004</v>
      </c>
      <c r="F40" s="117"/>
      <c r="G40" s="118"/>
      <c r="H40" s="117"/>
      <c r="K40" s="112">
        <f aca="true" t="shared" si="8" ref="K40:K55">G7/C7</f>
        <v>17.705560996610895</v>
      </c>
    </row>
    <row r="41" spans="2:11" ht="11.25">
      <c r="B41" s="82" t="s">
        <v>14</v>
      </c>
      <c r="C41" s="97">
        <v>87.64495</v>
      </c>
      <c r="D41" s="98">
        <v>2428.09529</v>
      </c>
      <c r="G41" s="118"/>
      <c r="I41" s="118"/>
      <c r="K41" s="112">
        <f t="shared" si="8"/>
        <v>27.621957732894433</v>
      </c>
    </row>
    <row r="42" spans="2:11" ht="11.25">
      <c r="B42" s="82" t="s">
        <v>15</v>
      </c>
      <c r="C42" s="97">
        <v>55.1047</v>
      </c>
      <c r="D42" s="98">
        <v>1086.90645</v>
      </c>
      <c r="F42" s="117"/>
      <c r="G42" s="118"/>
      <c r="H42" s="117"/>
      <c r="I42" s="118"/>
      <c r="K42" s="112">
        <f t="shared" si="8"/>
        <v>19.84290097330407</v>
      </c>
    </row>
    <row r="43" spans="2:11" ht="11.25">
      <c r="B43" s="82" t="s">
        <v>16</v>
      </c>
      <c r="C43" s="97">
        <v>32.54025</v>
      </c>
      <c r="D43" s="98">
        <v>1341.18884</v>
      </c>
      <c r="G43" s="118"/>
      <c r="I43" s="118"/>
      <c r="K43" s="112">
        <f t="shared" si="8"/>
        <v>40.63152215431042</v>
      </c>
    </row>
    <row r="44" spans="2:11" ht="11.25">
      <c r="B44" s="82" t="s">
        <v>17</v>
      </c>
      <c r="C44" s="97">
        <v>132.49272</v>
      </c>
      <c r="D44" s="98">
        <v>1461.2874900000002</v>
      </c>
      <c r="K44" s="112">
        <f t="shared" si="8"/>
        <v>11.072561211506816</v>
      </c>
    </row>
    <row r="45" spans="2:11" ht="11.25">
      <c r="B45" s="82" t="s">
        <v>15</v>
      </c>
      <c r="C45" s="97">
        <v>78.70154</v>
      </c>
      <c r="D45" s="98">
        <v>941.67547</v>
      </c>
      <c r="K45" s="112">
        <f t="shared" si="8"/>
        <v>12.048032130303902</v>
      </c>
    </row>
    <row r="46" spans="2:11" ht="11.25">
      <c r="B46" s="82" t="s">
        <v>16</v>
      </c>
      <c r="C46" s="97">
        <v>53.79118</v>
      </c>
      <c r="D46" s="98">
        <v>519.61202</v>
      </c>
      <c r="K46" s="112">
        <f t="shared" si="8"/>
        <v>9.695425297664045</v>
      </c>
    </row>
    <row r="47" spans="2:11" ht="11.25">
      <c r="B47" s="82" t="s">
        <v>18</v>
      </c>
      <c r="C47" s="97">
        <v>618.38994</v>
      </c>
      <c r="D47" s="98">
        <v>9548.07445</v>
      </c>
      <c r="K47" s="112">
        <f t="shared" si="8"/>
        <v>15.400680663298997</v>
      </c>
    </row>
    <row r="48" spans="2:11" ht="11.25">
      <c r="B48" s="82" t="s">
        <v>19</v>
      </c>
      <c r="C48" s="97">
        <v>70.47203</v>
      </c>
      <c r="D48" s="98">
        <v>904.3301999999999</v>
      </c>
      <c r="K48" s="112">
        <f t="shared" si="8"/>
        <v>12.920267646563069</v>
      </c>
    </row>
    <row r="49" spans="2:11" ht="11.25">
      <c r="B49" s="82" t="s">
        <v>20</v>
      </c>
      <c r="C49" s="97">
        <v>54.19377</v>
      </c>
      <c r="D49" s="98">
        <v>706.2406599999999</v>
      </c>
      <c r="K49" s="112">
        <f t="shared" si="8"/>
        <v>13.37396699471009</v>
      </c>
    </row>
    <row r="50" spans="2:11" ht="11.25">
      <c r="B50" s="82" t="s">
        <v>21</v>
      </c>
      <c r="C50" s="97">
        <v>51.71516</v>
      </c>
      <c r="D50" s="98">
        <v>281.19067</v>
      </c>
      <c r="K50" s="112">
        <f t="shared" si="8"/>
        <v>5.379066785764199</v>
      </c>
    </row>
    <row r="51" spans="2:11" ht="11.25">
      <c r="B51" s="82" t="s">
        <v>22</v>
      </c>
      <c r="C51" s="97">
        <v>2.47861</v>
      </c>
      <c r="D51" s="98">
        <v>425.04999</v>
      </c>
      <c r="K51" s="112">
        <f t="shared" si="8"/>
        <v>170.24863083930148</v>
      </c>
    </row>
    <row r="52" spans="2:11" ht="11.25">
      <c r="B52" s="82" t="s">
        <v>23</v>
      </c>
      <c r="C52" s="97">
        <v>16.27826</v>
      </c>
      <c r="D52" s="98">
        <v>198.08954</v>
      </c>
      <c r="K52" s="112">
        <f t="shared" si="8"/>
        <v>11.515138329564046</v>
      </c>
    </row>
    <row r="53" spans="2:11" ht="11.25">
      <c r="B53" s="82" t="s">
        <v>24</v>
      </c>
      <c r="C53" s="97">
        <v>384.53685</v>
      </c>
      <c r="D53" s="98">
        <v>6438.459720000001</v>
      </c>
      <c r="K53" s="112">
        <f t="shared" si="8"/>
        <v>16.772465436574574</v>
      </c>
    </row>
    <row r="54" spans="2:11" ht="11.25">
      <c r="B54" s="82" t="s">
        <v>20</v>
      </c>
      <c r="C54" s="97">
        <v>25.1479</v>
      </c>
      <c r="D54" s="98">
        <v>123.43831</v>
      </c>
      <c r="K54" s="112">
        <f t="shared" si="8"/>
        <v>4.91291856094476</v>
      </c>
    </row>
    <row r="55" spans="2:11" ht="11.25">
      <c r="B55" s="82" t="s">
        <v>23</v>
      </c>
      <c r="C55" s="97">
        <v>359.38895</v>
      </c>
      <c r="D55" s="98">
        <v>6315.02141</v>
      </c>
      <c r="K55" s="112">
        <f t="shared" si="8"/>
        <v>17.58515980310191</v>
      </c>
    </row>
    <row r="56" spans="2:11" ht="11.25">
      <c r="B56" s="82" t="s">
        <v>25</v>
      </c>
      <c r="C56" s="97">
        <v>136.30928</v>
      </c>
      <c r="D56" s="98">
        <v>1518.64786</v>
      </c>
      <c r="K56" s="112">
        <f>G23/C23</f>
        <v>11.111576431486107</v>
      </c>
    </row>
    <row r="57" spans="2:11" ht="11.25">
      <c r="B57" s="100" t="s">
        <v>26</v>
      </c>
      <c r="C57" s="97">
        <v>27.07178</v>
      </c>
      <c r="D57" s="98">
        <v>686.63667</v>
      </c>
      <c r="K57" s="112">
        <f>G24/C24</f>
        <v>25.08455337130601</v>
      </c>
    </row>
    <row r="58" spans="2:11" ht="11.25">
      <c r="B58" s="82" t="s">
        <v>27</v>
      </c>
      <c r="C58" s="101">
        <v>0.8791098099999999</v>
      </c>
      <c r="D58" s="98">
        <v>759.9047607800001</v>
      </c>
      <c r="K58" s="112">
        <f>G25/C25</f>
        <v>866.3511342600929</v>
      </c>
    </row>
    <row r="59" spans="2:11" ht="12" thickBot="1">
      <c r="B59" s="90" t="s">
        <v>28</v>
      </c>
      <c r="C59" s="114">
        <v>1.2766482700000001</v>
      </c>
      <c r="D59" s="102">
        <v>46.20180355</v>
      </c>
      <c r="K59" s="113">
        <f>G26/C26</f>
        <v>37.29726623976818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73"/>
  <sheetViews>
    <sheetView workbookViewId="0" topLeftCell="A1">
      <selection activeCell="J20" sqref="J20"/>
    </sheetView>
  </sheetViews>
  <sheetFormatPr defaultColWidth="9.00390625" defaultRowHeight="13.5"/>
  <cols>
    <col min="1" max="40" width="9.00390625" style="1" customWidth="1"/>
    <col min="41" max="41" width="16.125" style="1" customWidth="1"/>
    <col min="42" max="44" width="10.25390625" style="1" customWidth="1"/>
    <col min="45" max="45" width="11.125" style="1" customWidth="1"/>
    <col min="46" max="46" width="10.25390625" style="1" customWidth="1"/>
    <col min="47" max="48" width="9.00390625" style="1" customWidth="1"/>
    <col min="49" max="49" width="10.25390625" style="1" customWidth="1"/>
    <col min="50" max="54" width="9.00390625" style="1" customWidth="1"/>
    <col min="55" max="55" width="10.25390625" style="1" customWidth="1"/>
    <col min="56" max="56" width="9.00390625" style="1" customWidth="1"/>
    <col min="57" max="58" width="11.125" style="1" customWidth="1"/>
    <col min="59" max="16384" width="9.00390625" style="1" customWidth="1"/>
  </cols>
  <sheetData>
    <row r="1" ht="10.5">
      <c r="P1" s="2" t="s">
        <v>193</v>
      </c>
    </row>
    <row r="2" spans="2:41" ht="10.5">
      <c r="B2" s="2" t="s">
        <v>41</v>
      </c>
      <c r="P2" s="299" t="s">
        <v>206</v>
      </c>
      <c r="Q2" s="2" t="s">
        <v>187</v>
      </c>
      <c r="AO2" s="2" t="s">
        <v>191</v>
      </c>
    </row>
    <row r="3" spans="1:62" ht="10.5" customHeight="1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3"/>
      <c r="AQ3" s="153"/>
      <c r="AR3" s="153"/>
      <c r="AS3" s="153"/>
      <c r="AT3" s="153"/>
      <c r="AU3" s="153"/>
      <c r="AV3" s="153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</row>
    <row r="4" spans="1:62" s="13" customFormat="1" ht="11.25" thickBot="1">
      <c r="A4" s="151"/>
      <c r="B4" s="14"/>
      <c r="C4" s="14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16" t="s">
        <v>30</v>
      </c>
      <c r="L4" s="151"/>
      <c r="M4" s="17" t="s">
        <v>32</v>
      </c>
      <c r="N4" s="16" t="s">
        <v>34</v>
      </c>
      <c r="O4" s="151"/>
      <c r="P4" s="14"/>
      <c r="Q4" s="287" t="s">
        <v>12</v>
      </c>
      <c r="R4" s="279" t="s">
        <v>13</v>
      </c>
      <c r="S4" s="287" t="s">
        <v>14</v>
      </c>
      <c r="T4" s="290" t="s">
        <v>15</v>
      </c>
      <c r="U4" s="292" t="s">
        <v>16</v>
      </c>
      <c r="V4" s="287" t="s">
        <v>17</v>
      </c>
      <c r="W4" s="290" t="s">
        <v>15</v>
      </c>
      <c r="X4" s="292" t="s">
        <v>16</v>
      </c>
      <c r="Y4" s="287" t="s">
        <v>18</v>
      </c>
      <c r="Z4" s="279" t="s">
        <v>19</v>
      </c>
      <c r="AA4" s="287" t="s">
        <v>20</v>
      </c>
      <c r="AB4" s="290" t="s">
        <v>21</v>
      </c>
      <c r="AC4" s="292" t="s">
        <v>22</v>
      </c>
      <c r="AD4" s="287" t="s">
        <v>23</v>
      </c>
      <c r="AE4" s="279" t="s">
        <v>24</v>
      </c>
      <c r="AF4" s="289" t="s">
        <v>20</v>
      </c>
      <c r="AG4" s="287" t="s">
        <v>23</v>
      </c>
      <c r="AH4" s="290" t="s">
        <v>25</v>
      </c>
      <c r="AI4" s="291" t="s">
        <v>26</v>
      </c>
      <c r="AJ4" s="287" t="s">
        <v>27</v>
      </c>
      <c r="AK4" s="279" t="s">
        <v>28</v>
      </c>
      <c r="AL4" s="151"/>
      <c r="AM4" s="151"/>
      <c r="AN4" s="14"/>
      <c r="AO4" s="287" t="s">
        <v>12</v>
      </c>
      <c r="AP4" s="279" t="s">
        <v>13</v>
      </c>
      <c r="AQ4" s="287" t="s">
        <v>14</v>
      </c>
      <c r="AR4" s="290" t="s">
        <v>15</v>
      </c>
      <c r="AS4" s="292" t="s">
        <v>16</v>
      </c>
      <c r="AT4" s="287" t="s">
        <v>17</v>
      </c>
      <c r="AU4" s="290" t="s">
        <v>15</v>
      </c>
      <c r="AV4" s="292" t="s">
        <v>16</v>
      </c>
      <c r="AW4" s="287" t="s">
        <v>18</v>
      </c>
      <c r="AX4" s="279" t="s">
        <v>19</v>
      </c>
      <c r="AY4" s="287" t="s">
        <v>20</v>
      </c>
      <c r="AZ4" s="290" t="s">
        <v>21</v>
      </c>
      <c r="BA4" s="292" t="s">
        <v>22</v>
      </c>
      <c r="BB4" s="287" t="s">
        <v>23</v>
      </c>
      <c r="BC4" s="279" t="s">
        <v>24</v>
      </c>
      <c r="BD4" s="289" t="s">
        <v>20</v>
      </c>
      <c r="BE4" s="287" t="s">
        <v>23</v>
      </c>
      <c r="BF4" s="290" t="s">
        <v>25</v>
      </c>
      <c r="BG4" s="291" t="s">
        <v>26</v>
      </c>
      <c r="BH4" s="287" t="s">
        <v>27</v>
      </c>
      <c r="BI4" s="279" t="s">
        <v>28</v>
      </c>
      <c r="BJ4" s="151"/>
    </row>
    <row r="5" spans="1:65" ht="10.5">
      <c r="A5" s="150"/>
      <c r="B5" s="67">
        <v>8</v>
      </c>
      <c r="C5" s="418">
        <v>17.9</v>
      </c>
      <c r="D5" s="414">
        <v>10.7</v>
      </c>
      <c r="E5" s="414">
        <v>5.1</v>
      </c>
      <c r="F5" s="414">
        <v>0.9</v>
      </c>
      <c r="G5" s="414">
        <v>4.9</v>
      </c>
      <c r="H5" s="414">
        <v>0.4</v>
      </c>
      <c r="I5" s="414">
        <v>1.6</v>
      </c>
      <c r="J5" s="414">
        <v>43.1</v>
      </c>
      <c r="K5" s="415">
        <v>15.4</v>
      </c>
      <c r="L5" s="150"/>
      <c r="M5" s="419">
        <f>C5+D5+E5+F5+G5+H5</f>
        <v>39.89999999999999</v>
      </c>
      <c r="N5" s="415">
        <f>I5+J5+K5</f>
        <v>60.1</v>
      </c>
      <c r="O5" s="150"/>
      <c r="P5" s="67" t="s">
        <v>50</v>
      </c>
      <c r="Q5" s="126">
        <f>R5+Y5+AJ5+AK5</f>
        <v>7011429.73</v>
      </c>
      <c r="R5" s="123">
        <f>S5+V5</f>
        <v>1851680</v>
      </c>
      <c r="S5" s="124">
        <f>T5+U5</f>
        <v>742864</v>
      </c>
      <c r="T5" s="115">
        <v>460911</v>
      </c>
      <c r="U5" s="125">
        <v>281953</v>
      </c>
      <c r="V5" s="124">
        <f>W5+X5</f>
        <v>1108816</v>
      </c>
      <c r="W5" s="115">
        <v>636497</v>
      </c>
      <c r="X5" s="125">
        <v>472319</v>
      </c>
      <c r="Y5" s="126">
        <f>Z5+AE5+AH5+AI5</f>
        <v>5152913</v>
      </c>
      <c r="Z5" s="123">
        <f>AA5+AD5</f>
        <v>568314</v>
      </c>
      <c r="AA5" s="124">
        <f>AB5+AC5</f>
        <v>447975</v>
      </c>
      <c r="AB5" s="115">
        <v>428150</v>
      </c>
      <c r="AC5" s="125">
        <v>19825</v>
      </c>
      <c r="AD5" s="124">
        <v>120339</v>
      </c>
      <c r="AE5" s="123">
        <f aca="true" t="shared" si="0" ref="AE5:AE17">AF5+AG5</f>
        <v>3157237</v>
      </c>
      <c r="AF5" s="420">
        <v>214640</v>
      </c>
      <c r="AG5" s="124">
        <v>2942597</v>
      </c>
      <c r="AH5" s="115">
        <f>720745+501913</f>
        <v>1222658</v>
      </c>
      <c r="AI5" s="125">
        <v>204704</v>
      </c>
      <c r="AJ5" s="124">
        <v>6836.73</v>
      </c>
      <c r="AK5" s="123"/>
      <c r="AL5" s="150"/>
      <c r="AM5" s="150"/>
      <c r="AN5" s="67" t="s">
        <v>50</v>
      </c>
      <c r="AO5" s="126">
        <f>AP5+AW5+BH5+BI5</f>
        <v>117057200.14</v>
      </c>
      <c r="AP5" s="123">
        <f>AQ5+AT5</f>
        <v>34243751</v>
      </c>
      <c r="AQ5" s="124">
        <f>AR5+AS5</f>
        <v>21973770</v>
      </c>
      <c r="AR5" s="115">
        <v>9246904</v>
      </c>
      <c r="AS5" s="125">
        <v>12726866</v>
      </c>
      <c r="AT5" s="124">
        <f>AU5+AV5</f>
        <v>12269981</v>
      </c>
      <c r="AU5" s="115">
        <v>7700519</v>
      </c>
      <c r="AV5" s="125">
        <v>4569462</v>
      </c>
      <c r="AW5" s="126">
        <f>AX5+BC5+BF5+BG5</f>
        <v>77048210</v>
      </c>
      <c r="AX5" s="123">
        <f>AY5+BB5</f>
        <v>7207481</v>
      </c>
      <c r="AY5" s="124">
        <f>AZ5+BA5</f>
        <v>5792655</v>
      </c>
      <c r="AZ5" s="115">
        <v>2386139</v>
      </c>
      <c r="BA5" s="125">
        <v>3406516</v>
      </c>
      <c r="BB5" s="124">
        <v>1414826</v>
      </c>
      <c r="BC5" s="123">
        <f aca="true" t="shared" si="1" ref="BC5:BC17">BD5+BE5</f>
        <v>51616883</v>
      </c>
      <c r="BD5" s="420">
        <v>1061039</v>
      </c>
      <c r="BE5" s="124">
        <v>50555844</v>
      </c>
      <c r="BF5" s="115">
        <f>7733756+5480961</f>
        <v>13214717</v>
      </c>
      <c r="BG5" s="125">
        <v>5009129</v>
      </c>
      <c r="BH5" s="124">
        <v>5765239.14</v>
      </c>
      <c r="BI5" s="123"/>
      <c r="BJ5" s="150"/>
      <c r="BL5" s="223"/>
      <c r="BM5" s="40"/>
    </row>
    <row r="6" spans="1:65" ht="10.5">
      <c r="A6" s="150"/>
      <c r="B6" s="67">
        <v>9</v>
      </c>
      <c r="C6" s="418">
        <v>17.4588594221639</v>
      </c>
      <c r="D6" s="414">
        <v>10.382898907761074</v>
      </c>
      <c r="E6" s="414">
        <v>5.012150808574951</v>
      </c>
      <c r="F6" s="414">
        <v>0.9036220335458309</v>
      </c>
      <c r="G6" s="414">
        <v>5.16291134938922</v>
      </c>
      <c r="H6" s="414">
        <v>0.3772204587040522</v>
      </c>
      <c r="I6" s="414">
        <v>1.5370509909480954</v>
      </c>
      <c r="J6" s="414">
        <v>43.61076024358296</v>
      </c>
      <c r="K6" s="415">
        <v>15.554525785329918</v>
      </c>
      <c r="L6" s="150"/>
      <c r="M6" s="419">
        <f>C6+D6+E6+F6+G6+H6</f>
        <v>39.29766298013903</v>
      </c>
      <c r="N6" s="415">
        <f>I6+J6+K6</f>
        <v>60.70233701986098</v>
      </c>
      <c r="O6" s="150"/>
      <c r="P6" s="67" t="s">
        <v>51</v>
      </c>
      <c r="Q6" s="126">
        <f aca="true" t="shared" si="2" ref="Q6:Q17">R6+Y6+AJ6+AK6</f>
        <v>7313164.373</v>
      </c>
      <c r="R6" s="123">
        <f aca="true" t="shared" si="3" ref="R6:R16">S6+V6</f>
        <v>1919815</v>
      </c>
      <c r="S6" s="124">
        <f aca="true" t="shared" si="4" ref="S6:S16">T6+U6</f>
        <v>772848</v>
      </c>
      <c r="T6" s="115">
        <v>499416</v>
      </c>
      <c r="U6" s="125">
        <v>273432</v>
      </c>
      <c r="V6" s="124">
        <f>W6+X6</f>
        <v>1146967</v>
      </c>
      <c r="W6" s="115">
        <v>688870</v>
      </c>
      <c r="X6" s="125">
        <v>458097</v>
      </c>
      <c r="Y6" s="126">
        <f aca="true" t="shared" si="5" ref="Y6:Y17">Z6+AE6+AH6+AI6</f>
        <v>5385975</v>
      </c>
      <c r="Z6" s="123">
        <f aca="true" t="shared" si="6" ref="Z6:Z17">AA6+AD6</f>
        <v>570909</v>
      </c>
      <c r="AA6" s="124">
        <f aca="true" t="shared" si="7" ref="AA6:AA17">AB6+AC6</f>
        <v>434675</v>
      </c>
      <c r="AB6" s="115">
        <v>409616</v>
      </c>
      <c r="AC6" s="125">
        <v>25059</v>
      </c>
      <c r="AD6" s="124">
        <v>136234</v>
      </c>
      <c r="AE6" s="123">
        <f t="shared" si="0"/>
        <v>3359330</v>
      </c>
      <c r="AF6" s="420">
        <v>204490</v>
      </c>
      <c r="AG6" s="124">
        <v>3154840</v>
      </c>
      <c r="AH6" s="115">
        <f>751658+506986</f>
        <v>1258644</v>
      </c>
      <c r="AI6" s="125">
        <v>197092</v>
      </c>
      <c r="AJ6" s="124">
        <v>7374.373</v>
      </c>
      <c r="AK6" s="123"/>
      <c r="AL6" s="150"/>
      <c r="AM6" s="150"/>
      <c r="AN6" s="67" t="s">
        <v>51</v>
      </c>
      <c r="AO6" s="126">
        <f aca="true" t="shared" si="8" ref="AO6:AO16">AP6+AW6+BH6+BI6</f>
        <v>119880293.699</v>
      </c>
      <c r="AP6" s="123">
        <f aca="true" t="shared" si="9" ref="AP6:AP17">AQ6+AT6</f>
        <v>33656150</v>
      </c>
      <c r="AQ6" s="124">
        <f aca="true" t="shared" si="10" ref="AQ6:AQ16">AR6+AS6</f>
        <v>20796493</v>
      </c>
      <c r="AR6" s="115">
        <v>9973592</v>
      </c>
      <c r="AS6" s="125">
        <v>10822901</v>
      </c>
      <c r="AT6" s="124">
        <f>AU6+AV6</f>
        <v>12859657</v>
      </c>
      <c r="AU6" s="115">
        <v>8362607</v>
      </c>
      <c r="AV6" s="125">
        <v>4497050</v>
      </c>
      <c r="AW6" s="126">
        <f aca="true" t="shared" si="11" ref="AW6:AW17">AX6+BC6+BF6+BG6</f>
        <v>80048769</v>
      </c>
      <c r="AX6" s="123">
        <f aca="true" t="shared" si="12" ref="AX6:AX17">AY6+BB6</f>
        <v>7766969</v>
      </c>
      <c r="AY6" s="124">
        <f aca="true" t="shared" si="13" ref="AY6:AY17">AZ6+BA6</f>
        <v>6180660</v>
      </c>
      <c r="AZ6" s="115">
        <v>2268167</v>
      </c>
      <c r="BA6" s="125">
        <v>3912493</v>
      </c>
      <c r="BB6" s="124">
        <v>1586309</v>
      </c>
      <c r="BC6" s="123">
        <f t="shared" si="1"/>
        <v>54021820</v>
      </c>
      <c r="BD6" s="420">
        <v>1017156</v>
      </c>
      <c r="BE6" s="124">
        <v>53004664</v>
      </c>
      <c r="BF6" s="115">
        <f>7958991+5444409</f>
        <v>13403400</v>
      </c>
      <c r="BG6" s="125">
        <v>4856580</v>
      </c>
      <c r="BH6" s="124">
        <v>6175374.699</v>
      </c>
      <c r="BI6" s="123"/>
      <c r="BJ6" s="150"/>
      <c r="BL6" s="223"/>
      <c r="BM6" s="40"/>
    </row>
    <row r="7" spans="1:65" ht="10.5">
      <c r="A7" s="150"/>
      <c r="B7" s="67">
        <v>10</v>
      </c>
      <c r="C7" s="418">
        <v>17.04727548647786</v>
      </c>
      <c r="D7" s="414">
        <v>10.259469844354323</v>
      </c>
      <c r="E7" s="414">
        <v>4.958404697029805</v>
      </c>
      <c r="F7" s="414">
        <v>0.8666409777333142</v>
      </c>
      <c r="G7" s="414">
        <v>5.334976520084058</v>
      </c>
      <c r="H7" s="414">
        <v>0.32274779535098597</v>
      </c>
      <c r="I7" s="414">
        <v>1.3907555330621624</v>
      </c>
      <c r="J7" s="414">
        <v>44.336772993483244</v>
      </c>
      <c r="K7" s="415">
        <v>15.482956152424254</v>
      </c>
      <c r="L7" s="150"/>
      <c r="M7" s="419">
        <f>C7+D7+E7+F7+G7+H7</f>
        <v>38.78951532103034</v>
      </c>
      <c r="N7" s="415">
        <f>I7+J7+K7</f>
        <v>61.210484678969664</v>
      </c>
      <c r="O7" s="150"/>
      <c r="P7" s="67" t="s">
        <v>52</v>
      </c>
      <c r="Q7" s="126">
        <f t="shared" si="2"/>
        <v>7128626.244</v>
      </c>
      <c r="R7" s="123">
        <f t="shared" si="3"/>
        <v>1858774</v>
      </c>
      <c r="S7" s="124">
        <f t="shared" si="4"/>
        <v>737162</v>
      </c>
      <c r="T7" s="115">
        <v>479589</v>
      </c>
      <c r="U7" s="125">
        <v>257573</v>
      </c>
      <c r="V7" s="124">
        <f>W7+X7</f>
        <v>1121612</v>
      </c>
      <c r="W7" s="115">
        <v>681837</v>
      </c>
      <c r="X7" s="125">
        <v>439775</v>
      </c>
      <c r="Y7" s="126">
        <f t="shared" si="5"/>
        <v>5262705</v>
      </c>
      <c r="Z7" s="123">
        <f t="shared" si="6"/>
        <v>603033</v>
      </c>
      <c r="AA7" s="124">
        <f t="shared" si="7"/>
        <v>441761</v>
      </c>
      <c r="AB7" s="115">
        <v>418001</v>
      </c>
      <c r="AC7" s="125">
        <v>23760</v>
      </c>
      <c r="AD7" s="124">
        <v>161272</v>
      </c>
      <c r="AE7" s="123">
        <f t="shared" si="0"/>
        <v>3211494</v>
      </c>
      <c r="AF7" s="420">
        <v>186157</v>
      </c>
      <c r="AG7" s="124">
        <v>3025337</v>
      </c>
      <c r="AH7" s="115">
        <f>707428+503923</f>
        <v>1211351</v>
      </c>
      <c r="AI7" s="125">
        <v>236827</v>
      </c>
      <c r="AJ7" s="124">
        <v>7147.244</v>
      </c>
      <c r="AK7" s="123"/>
      <c r="AL7" s="150"/>
      <c r="AM7" s="150"/>
      <c r="AN7" s="67" t="s">
        <v>52</v>
      </c>
      <c r="AO7" s="126">
        <f t="shared" si="8"/>
        <v>116190779.659</v>
      </c>
      <c r="AP7" s="123">
        <f t="shared" si="9"/>
        <v>32041934</v>
      </c>
      <c r="AQ7" s="124">
        <f>AR7+AS7</f>
        <v>19650333</v>
      </c>
      <c r="AR7" s="115">
        <v>9535166</v>
      </c>
      <c r="AS7" s="125">
        <v>10115167</v>
      </c>
      <c r="AT7" s="124">
        <f>AU7+AV7</f>
        <v>12391601</v>
      </c>
      <c r="AU7" s="115">
        <v>8227441</v>
      </c>
      <c r="AV7" s="125">
        <v>4164160</v>
      </c>
      <c r="AW7" s="126">
        <f t="shared" si="11"/>
        <v>78086643</v>
      </c>
      <c r="AX7" s="123">
        <f t="shared" si="12"/>
        <v>7930912</v>
      </c>
      <c r="AY7" s="124">
        <f t="shared" si="13"/>
        <v>6228525</v>
      </c>
      <c r="AZ7" s="115">
        <v>2254783</v>
      </c>
      <c r="BA7" s="125">
        <v>3973742</v>
      </c>
      <c r="BB7" s="124">
        <v>1702387</v>
      </c>
      <c r="BC7" s="123">
        <f t="shared" si="1"/>
        <v>51969136</v>
      </c>
      <c r="BD7" s="420">
        <v>940431</v>
      </c>
      <c r="BE7" s="124">
        <v>51028705</v>
      </c>
      <c r="BF7" s="115">
        <f>7775062+5177403</f>
        <v>12952465</v>
      </c>
      <c r="BG7" s="125">
        <v>5234130</v>
      </c>
      <c r="BH7" s="124">
        <v>6062202.659</v>
      </c>
      <c r="BI7" s="123"/>
      <c r="BJ7" s="150"/>
      <c r="BL7" s="223"/>
      <c r="BM7" s="40"/>
    </row>
    <row r="8" spans="1:65" ht="10.5">
      <c r="A8" s="150"/>
      <c r="B8" s="67">
        <v>11</v>
      </c>
      <c r="C8" s="418">
        <v>16.904020640563296</v>
      </c>
      <c r="D8" s="414">
        <v>10.130422581056907</v>
      </c>
      <c r="E8" s="414">
        <v>4.871531319031054</v>
      </c>
      <c r="F8" s="414">
        <v>0.8504953562383915</v>
      </c>
      <c r="G8" s="414">
        <v>5.570319091805235</v>
      </c>
      <c r="H8" s="414">
        <v>0.3137753255679374</v>
      </c>
      <c r="I8" s="414">
        <v>1.3543355284473613</v>
      </c>
      <c r="J8" s="414">
        <v>44.424193030936365</v>
      </c>
      <c r="K8" s="415">
        <v>15.580907126353456</v>
      </c>
      <c r="L8" s="150"/>
      <c r="M8" s="419">
        <f>C8+D8+E8+F8+G8+H8</f>
        <v>38.640564314262825</v>
      </c>
      <c r="N8" s="415">
        <f>I8+J8+K8</f>
        <v>61.35943568573718</v>
      </c>
      <c r="O8" s="150"/>
      <c r="P8" s="67" t="s">
        <v>53</v>
      </c>
      <c r="Q8" s="126">
        <f t="shared" si="2"/>
        <v>7319600.388</v>
      </c>
      <c r="R8" s="123">
        <f t="shared" si="3"/>
        <v>1818673</v>
      </c>
      <c r="S8" s="124">
        <f t="shared" si="4"/>
        <v>735055</v>
      </c>
      <c r="T8" s="115">
        <v>456926</v>
      </c>
      <c r="U8" s="125">
        <v>278129</v>
      </c>
      <c r="V8" s="124">
        <f>W8+X8</f>
        <v>1083618</v>
      </c>
      <c r="W8" s="115">
        <v>626580</v>
      </c>
      <c r="X8" s="125">
        <v>457038</v>
      </c>
      <c r="Y8" s="126">
        <f t="shared" si="5"/>
        <v>5493061</v>
      </c>
      <c r="Z8" s="123">
        <f t="shared" si="6"/>
        <v>557109</v>
      </c>
      <c r="AA8" s="124">
        <f t="shared" si="7"/>
        <v>424819</v>
      </c>
      <c r="AB8" s="115">
        <v>402389</v>
      </c>
      <c r="AC8" s="125">
        <v>22430</v>
      </c>
      <c r="AD8" s="124">
        <v>132290</v>
      </c>
      <c r="AE8" s="123">
        <f t="shared" si="0"/>
        <v>3445651</v>
      </c>
      <c r="AF8" s="420">
        <v>206021</v>
      </c>
      <c r="AG8" s="124">
        <v>3239630</v>
      </c>
      <c r="AH8" s="115">
        <f>758112+512458</f>
        <v>1270570</v>
      </c>
      <c r="AI8" s="125">
        <v>219731</v>
      </c>
      <c r="AJ8" s="124">
        <v>7866.388</v>
      </c>
      <c r="AK8" s="123"/>
      <c r="AL8" s="150"/>
      <c r="AM8" s="150"/>
      <c r="AN8" s="67" t="s">
        <v>53</v>
      </c>
      <c r="AO8" s="126">
        <f t="shared" si="8"/>
        <v>123022121.518</v>
      </c>
      <c r="AP8" s="123">
        <f t="shared" si="9"/>
        <v>32825295</v>
      </c>
      <c r="AQ8" s="124">
        <f t="shared" si="10"/>
        <v>20862445</v>
      </c>
      <c r="AR8" s="115">
        <v>9167735</v>
      </c>
      <c r="AS8" s="125">
        <v>11694710</v>
      </c>
      <c r="AT8" s="124">
        <f>AU8+AV8</f>
        <v>11962850</v>
      </c>
      <c r="AU8" s="115">
        <v>7577736</v>
      </c>
      <c r="AV8" s="125">
        <v>4385114</v>
      </c>
      <c r="AW8" s="126">
        <f t="shared" si="11"/>
        <v>83456132</v>
      </c>
      <c r="AX8" s="123">
        <f t="shared" si="12"/>
        <v>7631854</v>
      </c>
      <c r="AY8" s="124">
        <f t="shared" si="13"/>
        <v>6066070</v>
      </c>
      <c r="AZ8" s="115">
        <v>2239760</v>
      </c>
      <c r="BA8" s="125">
        <v>3826310</v>
      </c>
      <c r="BB8" s="124">
        <v>1565784</v>
      </c>
      <c r="BC8" s="123">
        <f t="shared" si="1"/>
        <v>56195254</v>
      </c>
      <c r="BD8" s="420">
        <v>1002563</v>
      </c>
      <c r="BE8" s="124">
        <v>55192691</v>
      </c>
      <c r="BF8" s="115">
        <f>8364359+5828576</f>
        <v>14192935</v>
      </c>
      <c r="BG8" s="125">
        <v>5436089</v>
      </c>
      <c r="BH8" s="124">
        <v>6740694.518</v>
      </c>
      <c r="BI8" s="123"/>
      <c r="BJ8" s="150"/>
      <c r="BL8" s="223"/>
      <c r="BM8" s="40"/>
    </row>
    <row r="9" spans="1:65" ht="10.5" customHeight="1" thickBot="1">
      <c r="A9" s="150"/>
      <c r="B9" s="499">
        <v>12</v>
      </c>
      <c r="C9" s="487">
        <f>AQ19</f>
        <v>16.95147650081305</v>
      </c>
      <c r="D9" s="61">
        <f>AT19</f>
        <v>10.12773101841025</v>
      </c>
      <c r="E9" s="61">
        <f>AY19</f>
        <v>4.8973612067930095</v>
      </c>
      <c r="F9" s="61">
        <f>BD19</f>
        <v>0.8489347853024293</v>
      </c>
      <c r="G9" s="61">
        <f>BH19</f>
        <v>5.613751444705942</v>
      </c>
      <c r="H9" s="61">
        <f>BI19</f>
        <v>0.3031512053683434</v>
      </c>
      <c r="I9" s="61">
        <f>BB19</f>
        <v>1.252140284132103</v>
      </c>
      <c r="J9" s="61">
        <f>BE19</f>
        <v>44.44327197353631</v>
      </c>
      <c r="K9" s="69">
        <f>BF19+BG19</f>
        <v>15.562181580938558</v>
      </c>
      <c r="L9" s="150"/>
      <c r="M9" s="500">
        <f>C9+D9+E9+F9+G9+H9</f>
        <v>38.74240616139303</v>
      </c>
      <c r="N9" s="69">
        <f>I9+J9+K9</f>
        <v>61.25759383860697</v>
      </c>
      <c r="O9" s="150"/>
      <c r="P9" s="67" t="s">
        <v>54</v>
      </c>
      <c r="Q9" s="126">
        <f t="shared" si="2"/>
        <v>7007676.166</v>
      </c>
      <c r="R9" s="123">
        <f t="shared" si="3"/>
        <v>1772962</v>
      </c>
      <c r="S9" s="124">
        <f t="shared" si="4"/>
        <v>719879</v>
      </c>
      <c r="T9" s="115">
        <v>434008</v>
      </c>
      <c r="U9" s="125">
        <v>285871</v>
      </c>
      <c r="V9" s="505">
        <f>W9+X9-1</f>
        <v>1053083</v>
      </c>
      <c r="W9" s="115">
        <v>594853</v>
      </c>
      <c r="X9" s="125">
        <v>458231</v>
      </c>
      <c r="Y9" s="126">
        <f t="shared" si="5"/>
        <v>5225403</v>
      </c>
      <c r="Z9" s="123">
        <f t="shared" si="6"/>
        <v>507445</v>
      </c>
      <c r="AA9" s="124">
        <f t="shared" si="7"/>
        <v>411122</v>
      </c>
      <c r="AB9" s="115">
        <v>392305</v>
      </c>
      <c r="AC9" s="125">
        <v>18817</v>
      </c>
      <c r="AD9" s="124">
        <v>96323</v>
      </c>
      <c r="AE9" s="123">
        <f t="shared" si="0"/>
        <v>3271925</v>
      </c>
      <c r="AF9" s="420">
        <v>218879</v>
      </c>
      <c r="AG9" s="124">
        <v>3053046</v>
      </c>
      <c r="AH9" s="115">
        <f>775707+482005</f>
        <v>1257712</v>
      </c>
      <c r="AI9" s="125">
        <v>188321</v>
      </c>
      <c r="AJ9" s="124">
        <v>9311.166</v>
      </c>
      <c r="AK9" s="123"/>
      <c r="AL9" s="150"/>
      <c r="AM9" s="150"/>
      <c r="AN9" s="67" t="s">
        <v>54</v>
      </c>
      <c r="AO9" s="126">
        <f t="shared" si="8"/>
        <v>120460876.854</v>
      </c>
      <c r="AP9" s="123">
        <f t="shared" si="9"/>
        <v>32291986</v>
      </c>
      <c r="AQ9" s="124">
        <f t="shared" si="10"/>
        <v>20600219</v>
      </c>
      <c r="AR9" s="115">
        <v>8563244</v>
      </c>
      <c r="AS9" s="125">
        <v>12036975</v>
      </c>
      <c r="AT9" s="505">
        <f>AU9+AV9-1</f>
        <v>11691767</v>
      </c>
      <c r="AU9" s="115">
        <v>7120274</v>
      </c>
      <c r="AV9" s="125">
        <v>4571494</v>
      </c>
      <c r="AW9" s="126">
        <f t="shared" si="11"/>
        <v>80117126</v>
      </c>
      <c r="AX9" s="123">
        <f t="shared" si="12"/>
        <v>6813592</v>
      </c>
      <c r="AY9" s="124">
        <f t="shared" si="13"/>
        <v>5641726</v>
      </c>
      <c r="AZ9" s="115">
        <v>2294171</v>
      </c>
      <c r="BA9" s="125">
        <v>3347555</v>
      </c>
      <c r="BB9" s="124">
        <v>1171866</v>
      </c>
      <c r="BC9" s="123">
        <f t="shared" si="1"/>
        <v>54560418</v>
      </c>
      <c r="BD9" s="420">
        <v>1047513</v>
      </c>
      <c r="BE9" s="124">
        <v>53512905</v>
      </c>
      <c r="BF9" s="115">
        <f>8436073+5580811</f>
        <v>14016884</v>
      </c>
      <c r="BG9" s="125">
        <v>4726232</v>
      </c>
      <c r="BH9" s="124">
        <v>8051764.854</v>
      </c>
      <c r="BI9" s="123"/>
      <c r="BJ9" s="150"/>
      <c r="BL9" s="223"/>
      <c r="BM9" s="40"/>
    </row>
    <row r="10" spans="1:65" ht="10.5" customHeight="1">
      <c r="A10" s="150"/>
      <c r="B10" s="150"/>
      <c r="C10" s="150"/>
      <c r="D10" s="150"/>
      <c r="E10" s="152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67" t="s">
        <v>55</v>
      </c>
      <c r="Q10" s="126">
        <f t="shared" si="2"/>
        <v>7041594.526</v>
      </c>
      <c r="R10" s="123">
        <f t="shared" si="3"/>
        <v>1768713</v>
      </c>
      <c r="S10" s="124">
        <f t="shared" si="4"/>
        <v>713312</v>
      </c>
      <c r="T10" s="115">
        <v>456709</v>
      </c>
      <c r="U10" s="125">
        <v>256603</v>
      </c>
      <c r="V10" s="505">
        <f>W10+X10-1</f>
        <v>1055401</v>
      </c>
      <c r="W10" s="115">
        <v>628659</v>
      </c>
      <c r="X10" s="125">
        <v>426743</v>
      </c>
      <c r="Y10" s="126">
        <f t="shared" si="5"/>
        <v>5264803</v>
      </c>
      <c r="Z10" s="123">
        <f t="shared" si="6"/>
        <v>564592</v>
      </c>
      <c r="AA10" s="124">
        <f t="shared" si="7"/>
        <v>425909</v>
      </c>
      <c r="AB10" s="115">
        <v>404880</v>
      </c>
      <c r="AC10" s="125">
        <v>21029</v>
      </c>
      <c r="AD10" s="124">
        <v>138683</v>
      </c>
      <c r="AE10" s="123">
        <f t="shared" si="0"/>
        <v>3283650</v>
      </c>
      <c r="AF10" s="420">
        <v>193115</v>
      </c>
      <c r="AG10" s="124">
        <v>3090535</v>
      </c>
      <c r="AH10" s="115">
        <f>755658+469918</f>
        <v>1225576</v>
      </c>
      <c r="AI10" s="125">
        <v>190985</v>
      </c>
      <c r="AJ10" s="124">
        <v>8078.526</v>
      </c>
      <c r="AK10" s="123"/>
      <c r="AL10" s="150"/>
      <c r="AM10" s="150"/>
      <c r="AN10" s="67" t="s">
        <v>55</v>
      </c>
      <c r="AO10" s="126">
        <f t="shared" si="8"/>
        <v>117213629.34200001</v>
      </c>
      <c r="AP10" s="123">
        <f t="shared" si="9"/>
        <v>30316985</v>
      </c>
      <c r="AQ10" s="124">
        <f t="shared" si="10"/>
        <v>18575019</v>
      </c>
      <c r="AR10" s="115">
        <v>9122559</v>
      </c>
      <c r="AS10" s="125">
        <v>9452460</v>
      </c>
      <c r="AT10" s="505">
        <f>AU10+AV10+1</f>
        <v>11741966</v>
      </c>
      <c r="AU10" s="115">
        <v>7599312</v>
      </c>
      <c r="AV10" s="125">
        <v>4142653</v>
      </c>
      <c r="AW10" s="126">
        <f t="shared" si="11"/>
        <v>79899855</v>
      </c>
      <c r="AX10" s="123">
        <f t="shared" si="12"/>
        <v>7397337</v>
      </c>
      <c r="AY10" s="124">
        <f t="shared" si="13"/>
        <v>5829664</v>
      </c>
      <c r="AZ10" s="115">
        <v>2238549</v>
      </c>
      <c r="BA10" s="125">
        <v>3591115</v>
      </c>
      <c r="BB10" s="124">
        <v>1567673</v>
      </c>
      <c r="BC10" s="123">
        <f t="shared" si="1"/>
        <v>53903318</v>
      </c>
      <c r="BD10" s="420">
        <v>947446</v>
      </c>
      <c r="BE10" s="124">
        <v>52955872</v>
      </c>
      <c r="BF10" s="115">
        <f>8433022+5388459</f>
        <v>13821481</v>
      </c>
      <c r="BG10" s="125">
        <v>4777719</v>
      </c>
      <c r="BH10" s="124">
        <v>6996789.342</v>
      </c>
      <c r="BI10" s="123"/>
      <c r="BJ10" s="150"/>
      <c r="BL10" s="223"/>
      <c r="BM10" s="40"/>
    </row>
    <row r="11" spans="5:65" ht="10.5" customHeight="1">
      <c r="E11"/>
      <c r="K11" s="60"/>
      <c r="O11" s="150"/>
      <c r="P11" s="67" t="s">
        <v>56</v>
      </c>
      <c r="Q11" s="126">
        <f t="shared" si="2"/>
        <v>7204468.167</v>
      </c>
      <c r="R11" s="123">
        <f t="shared" si="3"/>
        <v>1861857</v>
      </c>
      <c r="S11" s="124">
        <f t="shared" si="4"/>
        <v>751695</v>
      </c>
      <c r="T11" s="115">
        <v>480430</v>
      </c>
      <c r="U11" s="125">
        <v>271265</v>
      </c>
      <c r="V11" s="124">
        <f>W11+X11</f>
        <v>1110162</v>
      </c>
      <c r="W11" s="115">
        <v>659743</v>
      </c>
      <c r="X11" s="125">
        <v>450419</v>
      </c>
      <c r="Y11" s="126">
        <f t="shared" si="5"/>
        <v>5334077</v>
      </c>
      <c r="Z11" s="123">
        <f t="shared" si="6"/>
        <v>606985</v>
      </c>
      <c r="AA11" s="124">
        <f t="shared" si="7"/>
        <v>440413</v>
      </c>
      <c r="AB11" s="115">
        <v>412750</v>
      </c>
      <c r="AC11" s="125">
        <v>27663</v>
      </c>
      <c r="AD11" s="124">
        <v>166572</v>
      </c>
      <c r="AE11" s="123">
        <f t="shared" si="0"/>
        <v>3252025</v>
      </c>
      <c r="AF11" s="420">
        <v>184099</v>
      </c>
      <c r="AG11" s="124">
        <v>3067926</v>
      </c>
      <c r="AH11" s="115">
        <f>755094+479661</f>
        <v>1234755</v>
      </c>
      <c r="AI11" s="125">
        <v>240312</v>
      </c>
      <c r="AJ11" s="124">
        <v>8534.167</v>
      </c>
      <c r="AK11" s="123"/>
      <c r="AL11" s="150"/>
      <c r="AM11" s="150"/>
      <c r="AN11" s="67" t="s">
        <v>56</v>
      </c>
      <c r="AO11" s="126">
        <f t="shared" si="8"/>
        <v>124089509.826</v>
      </c>
      <c r="AP11" s="123">
        <f t="shared" si="9"/>
        <v>34658501</v>
      </c>
      <c r="AQ11" s="124">
        <f t="shared" si="10"/>
        <v>22277272</v>
      </c>
      <c r="AR11" s="115">
        <v>9608413</v>
      </c>
      <c r="AS11" s="125">
        <v>12668859</v>
      </c>
      <c r="AT11" s="124">
        <f>AU11+AV11</f>
        <v>12381229</v>
      </c>
      <c r="AU11" s="115">
        <v>8003152</v>
      </c>
      <c r="AV11" s="125">
        <v>4378077</v>
      </c>
      <c r="AW11" s="126">
        <f t="shared" si="11"/>
        <v>82103714</v>
      </c>
      <c r="AX11" s="123">
        <f t="shared" si="12"/>
        <v>8923698</v>
      </c>
      <c r="AY11" s="124">
        <f t="shared" si="13"/>
        <v>7143210</v>
      </c>
      <c r="AZ11" s="115">
        <v>2343147</v>
      </c>
      <c r="BA11" s="125">
        <v>4800063</v>
      </c>
      <c r="BB11" s="124">
        <v>1780488</v>
      </c>
      <c r="BC11" s="123">
        <f t="shared" si="1"/>
        <v>54644017</v>
      </c>
      <c r="BD11" s="420">
        <v>929952</v>
      </c>
      <c r="BE11" s="124">
        <v>53714065</v>
      </c>
      <c r="BF11" s="115">
        <f>8103308+5087360</f>
        <v>13190668</v>
      </c>
      <c r="BG11" s="125">
        <v>5345331</v>
      </c>
      <c r="BH11" s="124">
        <v>7327294.826</v>
      </c>
      <c r="BI11" s="123"/>
      <c r="BJ11" s="150"/>
      <c r="BL11" s="223"/>
      <c r="BM11" s="40"/>
    </row>
    <row r="12" spans="5:65" ht="12" customHeight="1">
      <c r="E12"/>
      <c r="M12" s="62"/>
      <c r="O12" s="150"/>
      <c r="P12" s="67" t="s">
        <v>57</v>
      </c>
      <c r="Q12" s="126">
        <f t="shared" si="2"/>
        <v>6985595.139</v>
      </c>
      <c r="R12" s="123">
        <f t="shared" si="3"/>
        <v>1838234</v>
      </c>
      <c r="S12" s="124">
        <f t="shared" si="4"/>
        <v>731621</v>
      </c>
      <c r="T12" s="115">
        <v>463528</v>
      </c>
      <c r="U12" s="125">
        <v>268093</v>
      </c>
      <c r="V12" s="124">
        <f>W12+X12</f>
        <v>1106613</v>
      </c>
      <c r="W12" s="115">
        <v>658392</v>
      </c>
      <c r="X12" s="125">
        <v>448221</v>
      </c>
      <c r="Y12" s="126">
        <f t="shared" si="5"/>
        <v>5139268</v>
      </c>
      <c r="Z12" s="123">
        <f t="shared" si="6"/>
        <v>570745</v>
      </c>
      <c r="AA12" s="124">
        <f t="shared" si="7"/>
        <v>427683</v>
      </c>
      <c r="AB12" s="115">
        <v>402645</v>
      </c>
      <c r="AC12" s="125">
        <v>25038</v>
      </c>
      <c r="AD12" s="124">
        <v>143062</v>
      </c>
      <c r="AE12" s="123">
        <f t="shared" si="0"/>
        <v>3108289</v>
      </c>
      <c r="AF12" s="420">
        <v>193689</v>
      </c>
      <c r="AG12" s="124">
        <v>2914600</v>
      </c>
      <c r="AH12" s="115">
        <f>770114+480501</f>
        <v>1250615</v>
      </c>
      <c r="AI12" s="125">
        <v>209619</v>
      </c>
      <c r="AJ12" s="124">
        <v>8093.139</v>
      </c>
      <c r="AK12" s="123"/>
      <c r="AL12" s="150"/>
      <c r="AM12" s="150"/>
      <c r="AN12" s="67" t="s">
        <v>57</v>
      </c>
      <c r="AO12" s="126">
        <f t="shared" si="8"/>
        <v>120120575.558</v>
      </c>
      <c r="AP12" s="123">
        <f t="shared" si="9"/>
        <v>32617286</v>
      </c>
      <c r="AQ12" s="124">
        <f t="shared" si="10"/>
        <v>20243362</v>
      </c>
      <c r="AR12" s="115">
        <v>9245562</v>
      </c>
      <c r="AS12" s="125">
        <v>10997800</v>
      </c>
      <c r="AT12" s="124">
        <f>AU12+AV12</f>
        <v>12373924</v>
      </c>
      <c r="AU12" s="115">
        <v>7974740</v>
      </c>
      <c r="AV12" s="125">
        <v>4399184</v>
      </c>
      <c r="AW12" s="126">
        <f t="shared" si="11"/>
        <v>80610365</v>
      </c>
      <c r="AX12" s="123">
        <f t="shared" si="12"/>
        <v>8581194</v>
      </c>
      <c r="AY12" s="124">
        <f t="shared" si="13"/>
        <v>6981046</v>
      </c>
      <c r="AZ12" s="115">
        <v>2280257</v>
      </c>
      <c r="BA12" s="125">
        <v>4700789</v>
      </c>
      <c r="BB12" s="124">
        <v>1600148</v>
      </c>
      <c r="BC12" s="123">
        <f t="shared" si="1"/>
        <v>53178568</v>
      </c>
      <c r="BD12" s="420">
        <v>986046</v>
      </c>
      <c r="BE12" s="124">
        <v>52192522</v>
      </c>
      <c r="BF12" s="115">
        <f>8299873+5384698</f>
        <v>13684571</v>
      </c>
      <c r="BG12" s="125">
        <v>5166032</v>
      </c>
      <c r="BH12" s="124">
        <v>6892924.557999999</v>
      </c>
      <c r="BI12" s="123"/>
      <c r="BJ12" s="150"/>
      <c r="BL12" s="223"/>
      <c r="BM12" s="40"/>
    </row>
    <row r="13" spans="15:65" ht="10.5">
      <c r="O13" s="150"/>
      <c r="P13" s="67" t="s">
        <v>58</v>
      </c>
      <c r="Q13" s="126">
        <f t="shared" si="2"/>
        <v>7151058.726</v>
      </c>
      <c r="R13" s="123">
        <f t="shared" si="3"/>
        <v>1759504</v>
      </c>
      <c r="S13" s="124">
        <f>T13+U13</f>
        <v>703760</v>
      </c>
      <c r="T13" s="115">
        <v>418384</v>
      </c>
      <c r="U13" s="125">
        <v>285376</v>
      </c>
      <c r="V13" s="124">
        <f>W13+X13</f>
        <v>1055744</v>
      </c>
      <c r="W13" s="115">
        <v>574045</v>
      </c>
      <c r="X13" s="125">
        <v>481699</v>
      </c>
      <c r="Y13" s="126">
        <f t="shared" si="5"/>
        <v>5384309</v>
      </c>
      <c r="Z13" s="123">
        <f t="shared" si="6"/>
        <v>523702</v>
      </c>
      <c r="AA13" s="124">
        <f t="shared" si="7"/>
        <v>409773</v>
      </c>
      <c r="AB13" s="115">
        <v>393325</v>
      </c>
      <c r="AC13" s="125">
        <v>16448</v>
      </c>
      <c r="AD13" s="124">
        <v>113929</v>
      </c>
      <c r="AE13" s="123">
        <f t="shared" si="0"/>
        <v>3399055</v>
      </c>
      <c r="AF13" s="420">
        <v>221772</v>
      </c>
      <c r="AG13" s="124">
        <v>3177283</v>
      </c>
      <c r="AH13" s="115">
        <f>764736+490282</f>
        <v>1255018</v>
      </c>
      <c r="AI13" s="125">
        <v>206534</v>
      </c>
      <c r="AJ13" s="124">
        <v>7245.726</v>
      </c>
      <c r="AK13" s="123"/>
      <c r="AL13" s="150"/>
      <c r="AM13" s="150"/>
      <c r="AN13" s="67" t="s">
        <v>58</v>
      </c>
      <c r="AO13" s="126">
        <f t="shared" si="8"/>
        <v>118475443.35</v>
      </c>
      <c r="AP13" s="123">
        <f t="shared" si="9"/>
        <v>30807150</v>
      </c>
      <c r="AQ13" s="124">
        <f t="shared" si="10"/>
        <v>19317730</v>
      </c>
      <c r="AR13" s="115">
        <v>8259704</v>
      </c>
      <c r="AS13" s="125">
        <v>11058026</v>
      </c>
      <c r="AT13" s="505">
        <f>AU13+AV13-1</f>
        <v>11489420</v>
      </c>
      <c r="AU13" s="115">
        <v>6874061</v>
      </c>
      <c r="AV13" s="125">
        <v>4615360</v>
      </c>
      <c r="AW13" s="126">
        <f t="shared" si="11"/>
        <v>81444964</v>
      </c>
      <c r="AX13" s="123">
        <f t="shared" si="12"/>
        <v>5859908</v>
      </c>
      <c r="AY13" s="124">
        <f t="shared" si="13"/>
        <v>4519192</v>
      </c>
      <c r="AZ13" s="115">
        <v>2221383</v>
      </c>
      <c r="BA13" s="125">
        <v>2297809</v>
      </c>
      <c r="BB13" s="124">
        <v>1340716</v>
      </c>
      <c r="BC13" s="123">
        <f t="shared" si="1"/>
        <v>56509451</v>
      </c>
      <c r="BD13" s="420">
        <v>1104610</v>
      </c>
      <c r="BE13" s="124">
        <v>55404841</v>
      </c>
      <c r="BF13" s="115">
        <f>8465865+5531802</f>
        <v>13997667</v>
      </c>
      <c r="BG13" s="125">
        <v>5077938</v>
      </c>
      <c r="BH13" s="124">
        <v>6223329.35</v>
      </c>
      <c r="BI13" s="123"/>
      <c r="BJ13" s="150"/>
      <c r="BL13" s="223"/>
      <c r="BM13" s="40"/>
    </row>
    <row r="14" spans="15:65" ht="10.5">
      <c r="O14" s="150"/>
      <c r="P14" s="67" t="s">
        <v>59</v>
      </c>
      <c r="Q14" s="126">
        <f t="shared" si="2"/>
        <v>6780608.074</v>
      </c>
      <c r="R14" s="123">
        <f t="shared" si="3"/>
        <v>1792312</v>
      </c>
      <c r="S14" s="124">
        <f t="shared" si="4"/>
        <v>724374</v>
      </c>
      <c r="T14" s="115">
        <v>464183</v>
      </c>
      <c r="U14" s="125">
        <v>260191</v>
      </c>
      <c r="V14" s="505">
        <f>W14+X14+1</f>
        <v>1067938</v>
      </c>
      <c r="W14" s="115">
        <v>618232</v>
      </c>
      <c r="X14" s="125">
        <v>449705</v>
      </c>
      <c r="Y14" s="126">
        <f t="shared" si="5"/>
        <v>4981352</v>
      </c>
      <c r="Z14" s="123">
        <f t="shared" si="6"/>
        <v>511908</v>
      </c>
      <c r="AA14" s="124">
        <f t="shared" si="7"/>
        <v>405104</v>
      </c>
      <c r="AB14" s="115">
        <v>388242</v>
      </c>
      <c r="AC14" s="125">
        <v>16862</v>
      </c>
      <c r="AD14" s="124">
        <v>106804</v>
      </c>
      <c r="AE14" s="123">
        <f t="shared" si="0"/>
        <v>3151045</v>
      </c>
      <c r="AF14" s="420">
        <v>208914</v>
      </c>
      <c r="AG14" s="124">
        <v>2942131</v>
      </c>
      <c r="AH14" s="115">
        <f>718212+429148</f>
        <v>1147360</v>
      </c>
      <c r="AI14" s="125">
        <v>171039</v>
      </c>
      <c r="AJ14" s="124">
        <v>6944.074</v>
      </c>
      <c r="AK14" s="123"/>
      <c r="AL14" s="150"/>
      <c r="AM14" s="150"/>
      <c r="AN14" s="67" t="s">
        <v>59</v>
      </c>
      <c r="AO14" s="126">
        <f t="shared" si="8"/>
        <v>114847375.754</v>
      </c>
      <c r="AP14" s="123">
        <f t="shared" si="9"/>
        <v>31525659</v>
      </c>
      <c r="AQ14" s="124">
        <f t="shared" si="10"/>
        <v>19638526</v>
      </c>
      <c r="AR14" s="115">
        <v>9331993</v>
      </c>
      <c r="AS14" s="125">
        <v>10306533</v>
      </c>
      <c r="AT14" s="124">
        <f>AU14+AV14</f>
        <v>11887133</v>
      </c>
      <c r="AU14" s="115">
        <v>7499634</v>
      </c>
      <c r="AV14" s="125">
        <v>4387499</v>
      </c>
      <c r="AW14" s="126">
        <f t="shared" si="11"/>
        <v>77305121</v>
      </c>
      <c r="AX14" s="123">
        <f t="shared" si="12"/>
        <v>5900813</v>
      </c>
      <c r="AY14" s="124">
        <f t="shared" si="13"/>
        <v>4652167</v>
      </c>
      <c r="AZ14" s="115">
        <v>2195170</v>
      </c>
      <c r="BA14" s="125">
        <v>2456997</v>
      </c>
      <c r="BB14" s="124">
        <v>1248646</v>
      </c>
      <c r="BC14" s="123">
        <f t="shared" si="1"/>
        <v>54284585</v>
      </c>
      <c r="BD14" s="420">
        <v>1041285</v>
      </c>
      <c r="BE14" s="124">
        <v>53243300</v>
      </c>
      <c r="BF14" s="115">
        <f>7937181+4897110</f>
        <v>12834291</v>
      </c>
      <c r="BG14" s="125">
        <v>4285432</v>
      </c>
      <c r="BH14" s="124">
        <v>6016595.754</v>
      </c>
      <c r="BI14" s="123"/>
      <c r="BJ14" s="150"/>
      <c r="BL14" s="223"/>
      <c r="BM14" s="40"/>
    </row>
    <row r="15" spans="15:65" ht="10.5">
      <c r="O15" s="150"/>
      <c r="P15" s="67" t="s">
        <v>60</v>
      </c>
      <c r="Q15" s="126">
        <f t="shared" si="2"/>
        <v>6410353.451</v>
      </c>
      <c r="R15" s="123">
        <f t="shared" si="3"/>
        <v>1646756</v>
      </c>
      <c r="S15" s="124">
        <f t="shared" si="4"/>
        <v>632524</v>
      </c>
      <c r="T15" s="115">
        <v>384522</v>
      </c>
      <c r="U15" s="125">
        <v>248002</v>
      </c>
      <c r="V15" s="124">
        <f>W15+X15</f>
        <v>1014232</v>
      </c>
      <c r="W15" s="115">
        <v>591298</v>
      </c>
      <c r="X15" s="125">
        <v>422934</v>
      </c>
      <c r="Y15" s="126">
        <f t="shared" si="5"/>
        <v>4756483</v>
      </c>
      <c r="Z15" s="123">
        <f t="shared" si="6"/>
        <v>516323</v>
      </c>
      <c r="AA15" s="124">
        <f t="shared" si="7"/>
        <v>379392</v>
      </c>
      <c r="AB15" s="115">
        <v>360301</v>
      </c>
      <c r="AC15" s="125">
        <v>19091</v>
      </c>
      <c r="AD15" s="124">
        <v>136931</v>
      </c>
      <c r="AE15" s="123">
        <f t="shared" si="0"/>
        <v>2921378</v>
      </c>
      <c r="AF15" s="420">
        <v>183228</v>
      </c>
      <c r="AG15" s="124">
        <v>2738150</v>
      </c>
      <c r="AH15" s="115">
        <f>687686+423198</f>
        <v>1110884</v>
      </c>
      <c r="AI15" s="125">
        <v>207898</v>
      </c>
      <c r="AJ15" s="124">
        <v>7114.451</v>
      </c>
      <c r="AK15" s="123"/>
      <c r="AL15" s="150"/>
      <c r="AM15" s="150"/>
      <c r="AN15" s="67" t="s">
        <v>60</v>
      </c>
      <c r="AO15" s="126">
        <f t="shared" si="8"/>
        <v>104498381.481</v>
      </c>
      <c r="AP15" s="123">
        <f t="shared" si="9"/>
        <v>28789954</v>
      </c>
      <c r="AQ15" s="124">
        <f t="shared" si="10"/>
        <v>17509533</v>
      </c>
      <c r="AR15" s="115">
        <v>7574406</v>
      </c>
      <c r="AS15" s="125">
        <v>9935127</v>
      </c>
      <c r="AT15" s="124">
        <f>AU15+AV15</f>
        <v>11280421</v>
      </c>
      <c r="AU15" s="115">
        <v>7112911</v>
      </c>
      <c r="AV15" s="125">
        <v>4167510</v>
      </c>
      <c r="AW15" s="126">
        <f t="shared" si="11"/>
        <v>69475861</v>
      </c>
      <c r="AX15" s="123">
        <f t="shared" si="12"/>
        <v>6499269</v>
      </c>
      <c r="AY15" s="124">
        <f t="shared" si="13"/>
        <v>5093261</v>
      </c>
      <c r="AZ15" s="115">
        <v>2011046</v>
      </c>
      <c r="BA15" s="125">
        <v>3082215</v>
      </c>
      <c r="BB15" s="124">
        <v>1406008</v>
      </c>
      <c r="BC15" s="123">
        <f t="shared" si="1"/>
        <v>46608432</v>
      </c>
      <c r="BD15" s="420">
        <v>912594</v>
      </c>
      <c r="BE15" s="124">
        <v>45695838</v>
      </c>
      <c r="BF15" s="115">
        <f>7530119+4311548</f>
        <v>11841667</v>
      </c>
      <c r="BG15" s="125">
        <v>4526493</v>
      </c>
      <c r="BH15" s="124">
        <v>6232566.481</v>
      </c>
      <c r="BI15" s="123"/>
      <c r="BJ15" s="150"/>
      <c r="BL15" s="223"/>
      <c r="BM15" s="40"/>
    </row>
    <row r="16" spans="15:65" ht="10.5">
      <c r="O16" s="150"/>
      <c r="P16" s="233" t="s">
        <v>61</v>
      </c>
      <c r="Q16" s="133">
        <f t="shared" si="2"/>
        <v>7226738.679</v>
      </c>
      <c r="R16" s="134">
        <f t="shared" si="3"/>
        <v>1757471</v>
      </c>
      <c r="S16" s="127">
        <f t="shared" si="4"/>
        <v>705877</v>
      </c>
      <c r="T16" s="135">
        <v>413312</v>
      </c>
      <c r="U16" s="136">
        <v>292565</v>
      </c>
      <c r="V16" s="127">
        <f>W16+X16</f>
        <v>1051594</v>
      </c>
      <c r="W16" s="135">
        <v>563483</v>
      </c>
      <c r="X16" s="136">
        <v>488111</v>
      </c>
      <c r="Y16" s="133">
        <f t="shared" si="5"/>
        <v>5460941</v>
      </c>
      <c r="Z16" s="134">
        <f t="shared" si="6"/>
        <v>534174</v>
      </c>
      <c r="AA16" s="127">
        <f t="shared" si="7"/>
        <v>409112</v>
      </c>
      <c r="AB16" s="135">
        <v>390423</v>
      </c>
      <c r="AC16" s="136">
        <v>18689</v>
      </c>
      <c r="AD16" s="127">
        <v>125062</v>
      </c>
      <c r="AE16" s="134">
        <f t="shared" si="0"/>
        <v>3377003</v>
      </c>
      <c r="AF16" s="421">
        <v>218065</v>
      </c>
      <c r="AG16" s="127">
        <v>3158938</v>
      </c>
      <c r="AH16" s="135">
        <f>833839+504073</f>
        <v>1337912</v>
      </c>
      <c r="AI16" s="136">
        <v>211852</v>
      </c>
      <c r="AJ16" s="127">
        <v>8326.679</v>
      </c>
      <c r="AK16" s="134"/>
      <c r="AL16" s="150"/>
      <c r="AM16" s="150"/>
      <c r="AN16" s="233" t="s">
        <v>61</v>
      </c>
      <c r="AO16" s="133">
        <f t="shared" si="8"/>
        <v>119532441.895</v>
      </c>
      <c r="AP16" s="134">
        <f t="shared" si="9"/>
        <v>30666812</v>
      </c>
      <c r="AQ16" s="127">
        <f t="shared" si="10"/>
        <v>19214129</v>
      </c>
      <c r="AR16" s="135">
        <v>8195960</v>
      </c>
      <c r="AS16" s="136">
        <v>11018169</v>
      </c>
      <c r="AT16" s="127">
        <f>AU16+AV16+1</f>
        <v>11452683</v>
      </c>
      <c r="AU16" s="135">
        <v>6753357</v>
      </c>
      <c r="AV16" s="136">
        <v>4699325</v>
      </c>
      <c r="AW16" s="133">
        <f t="shared" si="11"/>
        <v>81652401</v>
      </c>
      <c r="AX16" s="134">
        <f t="shared" si="12"/>
        <v>6790981</v>
      </c>
      <c r="AY16" s="127">
        <f t="shared" si="13"/>
        <v>5399291</v>
      </c>
      <c r="AZ16" s="135">
        <v>2245251</v>
      </c>
      <c r="BA16" s="136">
        <v>3154040</v>
      </c>
      <c r="BB16" s="127">
        <v>1391690</v>
      </c>
      <c r="BC16" s="134">
        <f t="shared" si="1"/>
        <v>55518155</v>
      </c>
      <c r="BD16" s="421">
        <v>1061628</v>
      </c>
      <c r="BE16" s="127">
        <v>54456527</v>
      </c>
      <c r="BF16" s="135">
        <f>9100530+5253076</f>
        <v>14353606</v>
      </c>
      <c r="BG16" s="136">
        <v>4989659</v>
      </c>
      <c r="BH16" s="127">
        <v>7213228.8950000005</v>
      </c>
      <c r="BI16" s="134"/>
      <c r="BJ16" s="150"/>
      <c r="BL16" s="223"/>
      <c r="BM16" s="40"/>
    </row>
    <row r="17" spans="15:62" ht="11.25" thickBot="1">
      <c r="O17" s="150"/>
      <c r="P17" s="234" t="s">
        <v>190</v>
      </c>
      <c r="Q17" s="423">
        <f t="shared" si="2"/>
        <v>84691041.95300001</v>
      </c>
      <c r="R17" s="137">
        <f>S17+V17</f>
        <v>21646751</v>
      </c>
      <c r="S17" s="128">
        <f>T17+U17</f>
        <v>8670971</v>
      </c>
      <c r="T17" s="138">
        <f aca="true" t="shared" si="14" ref="T17:AG17">SUM(T5:T16)</f>
        <v>5411918</v>
      </c>
      <c r="U17" s="139">
        <f t="shared" si="14"/>
        <v>3259053</v>
      </c>
      <c r="V17" s="128">
        <f>W17+X17-1</f>
        <v>12975780</v>
      </c>
      <c r="W17" s="138">
        <f t="shared" si="14"/>
        <v>7522489</v>
      </c>
      <c r="X17" s="139">
        <f t="shared" si="14"/>
        <v>5453292</v>
      </c>
      <c r="Y17" s="128">
        <f t="shared" si="5"/>
        <v>62841290</v>
      </c>
      <c r="Z17" s="137">
        <f t="shared" si="6"/>
        <v>6635239</v>
      </c>
      <c r="AA17" s="128">
        <f t="shared" si="7"/>
        <v>5057738</v>
      </c>
      <c r="AB17" s="138">
        <f>SUM(AB5:AB16)</f>
        <v>4803027</v>
      </c>
      <c r="AC17" s="139">
        <f>SUM(AC5:AC16)</f>
        <v>254711</v>
      </c>
      <c r="AD17" s="128">
        <f t="shared" si="14"/>
        <v>1577501</v>
      </c>
      <c r="AE17" s="137">
        <f t="shared" si="0"/>
        <v>38938082</v>
      </c>
      <c r="AF17" s="422">
        <f t="shared" si="14"/>
        <v>2433069</v>
      </c>
      <c r="AG17" s="128">
        <f t="shared" si="14"/>
        <v>36505013</v>
      </c>
      <c r="AH17" s="138">
        <f>SUM(AH5:AH16)</f>
        <v>14783055</v>
      </c>
      <c r="AI17" s="139">
        <f>SUM(AI5:AI16)</f>
        <v>2484914</v>
      </c>
      <c r="AJ17" s="128">
        <f>SUM(AJ5:AJ16)</f>
        <v>92872.663</v>
      </c>
      <c r="AK17" s="137">
        <v>110128.29</v>
      </c>
      <c r="AL17" s="150"/>
      <c r="AM17" s="150"/>
      <c r="AN17" s="234" t="s">
        <v>190</v>
      </c>
      <c r="AO17" s="423">
        <f>AP17+AW17+BH17+BI17</f>
        <v>1419692443.832</v>
      </c>
      <c r="AP17" s="137">
        <f t="shared" si="9"/>
        <v>384441463</v>
      </c>
      <c r="AQ17" s="128">
        <f>AR17+AS17</f>
        <v>240658831</v>
      </c>
      <c r="AR17" s="138">
        <f aca="true" t="shared" si="15" ref="AR17:BE17">SUM(AR5:AR16)</f>
        <v>107825238</v>
      </c>
      <c r="AS17" s="139">
        <f t="shared" si="15"/>
        <v>132833593</v>
      </c>
      <c r="AT17" s="128">
        <f>AU17+AV17</f>
        <v>143782632</v>
      </c>
      <c r="AU17" s="138">
        <f t="shared" si="15"/>
        <v>90805744</v>
      </c>
      <c r="AV17" s="139">
        <f t="shared" si="15"/>
        <v>52976888</v>
      </c>
      <c r="AW17" s="128">
        <f t="shared" si="11"/>
        <v>951249161</v>
      </c>
      <c r="AX17" s="137">
        <f t="shared" si="12"/>
        <v>87304008</v>
      </c>
      <c r="AY17" s="128">
        <f t="shared" si="13"/>
        <v>69527467</v>
      </c>
      <c r="AZ17" s="138">
        <f>SUM(AZ5:AZ16)</f>
        <v>26977823</v>
      </c>
      <c r="BA17" s="139">
        <f>SUM(BA5:BA16)</f>
        <v>42549644</v>
      </c>
      <c r="BB17" s="128">
        <f t="shared" si="15"/>
        <v>17776541</v>
      </c>
      <c r="BC17" s="137">
        <f t="shared" si="1"/>
        <v>643010037</v>
      </c>
      <c r="BD17" s="422">
        <f t="shared" si="15"/>
        <v>12052263</v>
      </c>
      <c r="BE17" s="128">
        <f t="shared" si="15"/>
        <v>630957774</v>
      </c>
      <c r="BF17" s="138">
        <f>SUM(BF5:BF16)</f>
        <v>161504352</v>
      </c>
      <c r="BG17" s="139">
        <f>SUM(BG5:BG16)</f>
        <v>59430764</v>
      </c>
      <c r="BH17" s="128">
        <f>SUM(BH5:BH16)</f>
        <v>79698005.07599999</v>
      </c>
      <c r="BI17" s="137">
        <v>4303814.756</v>
      </c>
      <c r="BJ17" s="150"/>
    </row>
    <row r="18" spans="15:62" ht="11.25" thickBot="1">
      <c r="O18" s="150"/>
      <c r="P18" s="62"/>
      <c r="Q18" s="296">
        <f>Q17/Q38*100</f>
        <v>100.8121227258711</v>
      </c>
      <c r="R18" s="297">
        <f aca="true" t="shared" si="16" ref="R18:AG18">R17/R38*100</f>
        <v>99.52403360417283</v>
      </c>
      <c r="S18" s="297">
        <f t="shared" si="16"/>
        <v>99.46612060872414</v>
      </c>
      <c r="T18" s="297">
        <f t="shared" si="16"/>
        <v>99.20226386955548</v>
      </c>
      <c r="U18" s="297">
        <f t="shared" si="16"/>
        <v>99.90739020635338</v>
      </c>
      <c r="V18" s="297">
        <f t="shared" si="16"/>
        <v>99.5627711483743</v>
      </c>
      <c r="W18" s="297">
        <f t="shared" si="16"/>
        <v>98.60470694795538</v>
      </c>
      <c r="X18" s="297">
        <f t="shared" si="16"/>
        <v>100.91536979255629</v>
      </c>
      <c r="Y18" s="297">
        <f t="shared" si="16"/>
        <v>101.28041996666066</v>
      </c>
      <c r="Z18" s="297">
        <f t="shared" si="16"/>
        <v>96.66544631240069</v>
      </c>
      <c r="AA18" s="297">
        <f t="shared" si="16"/>
        <v>97.47518860055536</v>
      </c>
      <c r="AB18" s="297">
        <f t="shared" si="16"/>
        <v>97.28378632930468</v>
      </c>
      <c r="AC18" s="297">
        <f t="shared" si="16"/>
        <v>101.23085360909965</v>
      </c>
      <c r="AD18" s="297">
        <f t="shared" si="16"/>
        <v>94.15763440359606</v>
      </c>
      <c r="AE18" s="297">
        <f t="shared" si="16"/>
        <v>101.26491413214724</v>
      </c>
      <c r="AF18" s="297">
        <f t="shared" si="16"/>
        <v>98.66543875677773</v>
      </c>
      <c r="AG18" s="297">
        <f t="shared" si="16"/>
        <v>101.44304732860438</v>
      </c>
      <c r="AH18" s="297">
        <f>AH17/AH38*100</f>
        <v>104.46075366213677</v>
      </c>
      <c r="AI18" s="297">
        <f>AI17/AI38*100</f>
        <v>96.34351120473103</v>
      </c>
      <c r="AJ18" s="297">
        <f>AJ17/AJ38*100</f>
        <v>101.39878157686645</v>
      </c>
      <c r="AK18" s="297">
        <f>AK17/AK38*100</f>
        <v>91.7040327751455</v>
      </c>
      <c r="AL18" s="150"/>
      <c r="AM18" s="150"/>
      <c r="AN18" s="62"/>
      <c r="AO18" s="298">
        <f>AO17/AO38*100</f>
        <v>99.66308025853135</v>
      </c>
      <c r="AP18" s="298">
        <f aca="true" t="shared" si="17" ref="AP18:BE18">AP17/AP38*100</f>
        <v>99.82878820342937</v>
      </c>
      <c r="AQ18" s="298">
        <f t="shared" si="17"/>
        <v>99.94355483201818</v>
      </c>
      <c r="AR18" s="298">
        <f t="shared" si="17"/>
        <v>99.60603118753333</v>
      </c>
      <c r="AS18" s="298">
        <f t="shared" si="17"/>
        <v>100.21922012467618</v>
      </c>
      <c r="AT18" s="298">
        <f t="shared" si="17"/>
        <v>99.63728271831698</v>
      </c>
      <c r="AU18" s="298">
        <f t="shared" si="17"/>
        <v>98.79461869723947</v>
      </c>
      <c r="AV18" s="298">
        <f t="shared" si="17"/>
        <v>101.1155949886702</v>
      </c>
      <c r="AW18" s="298">
        <f t="shared" si="17"/>
        <v>99.54851201581425</v>
      </c>
      <c r="AX18" s="298">
        <f t="shared" si="17"/>
        <v>98.44130480586428</v>
      </c>
      <c r="AY18" s="298">
        <f t="shared" si="17"/>
        <v>100.19220080280323</v>
      </c>
      <c r="AZ18" s="298">
        <f>AZ17/AZ38*100</f>
        <v>101.58402150953536</v>
      </c>
      <c r="BA18" s="298">
        <f t="shared" si="17"/>
        <v>99.32932882996145</v>
      </c>
      <c r="BB18" s="298">
        <f t="shared" si="17"/>
        <v>92.14334945706484</v>
      </c>
      <c r="BC18" s="298">
        <f t="shared" si="17"/>
        <v>99.70232590855551</v>
      </c>
      <c r="BD18" s="298">
        <f t="shared" si="17"/>
        <v>99.48088980131826</v>
      </c>
      <c r="BE18" s="298">
        <f t="shared" si="17"/>
        <v>99.7065652738216</v>
      </c>
      <c r="BF18" s="298">
        <f>BF17/BF38*100</f>
        <v>102.70640164914946</v>
      </c>
      <c r="BG18" s="298">
        <f>BG17/BG38*100</f>
        <v>91.85780162330109</v>
      </c>
      <c r="BH18" s="298">
        <f>BH17/BH38*100</f>
        <v>100.44039746076767</v>
      </c>
      <c r="BI18" s="298">
        <f>BI17/BI38*100</f>
        <v>96.08732615237194</v>
      </c>
      <c r="BJ18" s="150"/>
    </row>
    <row r="19" spans="15:62" ht="11.25" thickBot="1">
      <c r="O19" s="150"/>
      <c r="P19" s="62"/>
      <c r="Q19" s="146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280"/>
      <c r="AF19" s="62"/>
      <c r="AG19" s="62"/>
      <c r="AH19" s="62"/>
      <c r="AI19" s="62"/>
      <c r="AJ19" s="62"/>
      <c r="AK19" s="62"/>
      <c r="AL19" s="150"/>
      <c r="AM19" s="150"/>
      <c r="AN19" s="66" t="s">
        <v>62</v>
      </c>
      <c r="AO19" s="288">
        <f>IF($P$2="YES",AO21/$AO$21*100,AO17/$AO$17*100)</f>
        <v>100</v>
      </c>
      <c r="AP19" s="288">
        <f aca="true" t="shared" si="18" ref="AP19:BE19">IF($P$2="YES",AP21/$AO$21*100,AP17/$AO$17*100)</f>
        <v>27.079207519223303</v>
      </c>
      <c r="AQ19" s="288">
        <f t="shared" si="18"/>
        <v>16.95147650081305</v>
      </c>
      <c r="AR19" s="288">
        <f t="shared" si="18"/>
        <v>7.594971605889561</v>
      </c>
      <c r="AS19" s="288">
        <f t="shared" si="18"/>
        <v>9.35650489492349</v>
      </c>
      <c r="AT19" s="288">
        <f t="shared" si="18"/>
        <v>10.12773101841025</v>
      </c>
      <c r="AU19" s="288">
        <f t="shared" si="18"/>
        <v>6.396156040311047</v>
      </c>
      <c r="AV19" s="288">
        <f t="shared" si="18"/>
        <v>3.7315749780992036</v>
      </c>
      <c r="AW19" s="288">
        <f t="shared" si="18"/>
        <v>67.0038898307024</v>
      </c>
      <c r="AX19" s="288">
        <f t="shared" si="18"/>
        <v>6.149501490925112</v>
      </c>
      <c r="AY19" s="288">
        <f t="shared" si="18"/>
        <v>4.8973612067930095</v>
      </c>
      <c r="AZ19" s="288">
        <f t="shared" si="18"/>
        <v>1.9002582648944797</v>
      </c>
      <c r="BA19" s="288">
        <f t="shared" si="18"/>
        <v>2.9971029418985293</v>
      </c>
      <c r="BB19" s="288">
        <f t="shared" si="18"/>
        <v>1.252140284132103</v>
      </c>
      <c r="BC19" s="288">
        <f t="shared" si="18"/>
        <v>45.29220675883874</v>
      </c>
      <c r="BD19" s="288">
        <f t="shared" si="18"/>
        <v>0.8489347853024293</v>
      </c>
      <c r="BE19" s="288">
        <f t="shared" si="18"/>
        <v>44.44327197353631</v>
      </c>
      <c r="BF19" s="288">
        <f>IF($P$2="YES",BF21/$AO$21*100,BF17/$AO$17*100)</f>
        <v>11.376009832388155</v>
      </c>
      <c r="BG19" s="288">
        <f>IF($P$2="YES",BG21/$AO$21*100,BG17/$AO$17*100)</f>
        <v>4.186171748550404</v>
      </c>
      <c r="BH19" s="288">
        <f>IF($P$2="YES",BH21/$AO$21*100,BH17/$AO$17*100)</f>
        <v>5.613751444705942</v>
      </c>
      <c r="BI19" s="288">
        <f>IF($P$2="YES",BI21/$AO$21*100,BI17/$AO$17*100)</f>
        <v>0.3031512053683434</v>
      </c>
      <c r="BJ19" s="150"/>
    </row>
    <row r="20" spans="15:62" ht="13.5">
      <c r="O20" s="150"/>
      <c r="P20" s="73"/>
      <c r="Q20" s="73"/>
      <c r="R20" s="62"/>
      <c r="S20" s="62"/>
      <c r="T20" s="73"/>
      <c r="U20" s="73"/>
      <c r="V20" s="62"/>
      <c r="W20" s="73"/>
      <c r="X20" s="73"/>
      <c r="Y20" s="62"/>
      <c r="Z20" s="73"/>
      <c r="AA20" s="73"/>
      <c r="AB20" s="250"/>
      <c r="AC20" s="73"/>
      <c r="AD20" s="73"/>
      <c r="AE20" s="73"/>
      <c r="AF20" s="73"/>
      <c r="AG20" s="73"/>
      <c r="AH20" s="62"/>
      <c r="AI20" s="73"/>
      <c r="AJ20" s="73"/>
      <c r="AK20" s="73"/>
      <c r="AL20" s="150"/>
      <c r="AM20" s="150"/>
      <c r="AN20" s="62"/>
      <c r="AO20" s="416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50"/>
    </row>
    <row r="21" spans="15:62" s="116" customFormat="1" ht="10.5">
      <c r="O21" s="160"/>
      <c r="P21" s="281" t="s">
        <v>186</v>
      </c>
      <c r="Q21" s="129">
        <f>R21+Y21+AJ21+AK21</f>
        <v>84691042.95300001</v>
      </c>
      <c r="R21" s="129">
        <f>S21+V21</f>
        <v>21646752</v>
      </c>
      <c r="S21" s="129">
        <f>T21+U21</f>
        <v>8670971</v>
      </c>
      <c r="T21" s="235">
        <f>T17</f>
        <v>5411918</v>
      </c>
      <c r="U21" s="235">
        <f>U17</f>
        <v>3259053</v>
      </c>
      <c r="V21" s="129">
        <f>W21+X21</f>
        <v>12975781</v>
      </c>
      <c r="W21" s="235">
        <f>W17</f>
        <v>7522489</v>
      </c>
      <c r="X21" s="235">
        <f>X17</f>
        <v>5453292</v>
      </c>
      <c r="Y21" s="129">
        <f>Z21+AE21+AH21+AI21</f>
        <v>62841290</v>
      </c>
      <c r="Z21" s="129">
        <f>AA21+AD21</f>
        <v>6635239</v>
      </c>
      <c r="AA21" s="129">
        <f>AB21+AC21</f>
        <v>5057738</v>
      </c>
      <c r="AB21" s="235">
        <f>AB17</f>
        <v>4803027</v>
      </c>
      <c r="AC21" s="235">
        <f>AC17</f>
        <v>254711</v>
      </c>
      <c r="AD21" s="235">
        <f>AD17</f>
        <v>1577501</v>
      </c>
      <c r="AE21" s="129">
        <f>AF21+AG21</f>
        <v>38938082</v>
      </c>
      <c r="AF21" s="235">
        <f aca="true" t="shared" si="19" ref="AF21:AK21">AF17</f>
        <v>2433069</v>
      </c>
      <c r="AG21" s="235">
        <f t="shared" si="19"/>
        <v>36505013</v>
      </c>
      <c r="AH21" s="235">
        <f t="shared" si="19"/>
        <v>14783055</v>
      </c>
      <c r="AI21" s="235">
        <f t="shared" si="19"/>
        <v>2484914</v>
      </c>
      <c r="AJ21" s="147">
        <f t="shared" si="19"/>
        <v>92872.663</v>
      </c>
      <c r="AK21" s="129">
        <f t="shared" si="19"/>
        <v>110128.29</v>
      </c>
      <c r="AL21" s="160"/>
      <c r="AM21" s="160"/>
      <c r="AN21" s="281" t="s">
        <v>186</v>
      </c>
      <c r="AO21" s="129">
        <f>AP21+AW21+BH21+BI21</f>
        <v>1419692443.832</v>
      </c>
      <c r="AP21" s="129">
        <f>AQ21+AT21</f>
        <v>384441463</v>
      </c>
      <c r="AQ21" s="129">
        <f>AR21+AS21</f>
        <v>240658831</v>
      </c>
      <c r="AR21" s="129">
        <f>AR17</f>
        <v>107825238</v>
      </c>
      <c r="AS21" s="129">
        <f>AS17</f>
        <v>132833593</v>
      </c>
      <c r="AT21" s="129">
        <f>AU21+AV21</f>
        <v>143782632</v>
      </c>
      <c r="AU21" s="129">
        <f>AU17</f>
        <v>90805744</v>
      </c>
      <c r="AV21" s="129">
        <f>AV17</f>
        <v>52976888</v>
      </c>
      <c r="AW21" s="129">
        <f>AX21+BC21+BF21+BG21</f>
        <v>951249161</v>
      </c>
      <c r="AX21" s="129">
        <f>AY21+BB21</f>
        <v>87304008</v>
      </c>
      <c r="AY21" s="129">
        <f>AZ21+BA21</f>
        <v>69527467</v>
      </c>
      <c r="AZ21" s="129">
        <f>AZ17</f>
        <v>26977823</v>
      </c>
      <c r="BA21" s="129">
        <f>BA17</f>
        <v>42549644</v>
      </c>
      <c r="BB21" s="129">
        <f>BB17</f>
        <v>17776541</v>
      </c>
      <c r="BC21" s="129">
        <f>BD21+BE21</f>
        <v>643010037</v>
      </c>
      <c r="BD21" s="129">
        <f aca="true" t="shared" si="20" ref="BD21:BI21">BD17</f>
        <v>12052263</v>
      </c>
      <c r="BE21" s="129">
        <f t="shared" si="20"/>
        <v>630957774</v>
      </c>
      <c r="BF21" s="129">
        <f t="shared" si="20"/>
        <v>161504352</v>
      </c>
      <c r="BG21" s="129">
        <f t="shared" si="20"/>
        <v>59430764</v>
      </c>
      <c r="BH21" s="147">
        <f t="shared" si="20"/>
        <v>79698005.07599999</v>
      </c>
      <c r="BI21" s="129">
        <f t="shared" si="20"/>
        <v>4303814.756</v>
      </c>
      <c r="BJ21" s="160"/>
    </row>
    <row r="22" spans="15:62" ht="10.5">
      <c r="O22" s="150"/>
      <c r="P22" s="70" t="s">
        <v>63</v>
      </c>
      <c r="Q22" s="132">
        <f aca="true" t="shared" si="21" ref="Q22:Z22">Q21/Q38*100-100</f>
        <v>0.8121239162227596</v>
      </c>
      <c r="R22" s="132">
        <f t="shared" si="21"/>
        <v>-0.4759617981841586</v>
      </c>
      <c r="S22" s="132">
        <f t="shared" si="21"/>
        <v>-0.5338793912758604</v>
      </c>
      <c r="T22" s="132">
        <f t="shared" si="21"/>
        <v>-0.7977361304445196</v>
      </c>
      <c r="U22" s="132">
        <f t="shared" si="21"/>
        <v>-0.09260979364661637</v>
      </c>
      <c r="V22" s="132">
        <f t="shared" si="21"/>
        <v>-0.4372211786556619</v>
      </c>
      <c r="W22" s="132">
        <f t="shared" si="21"/>
        <v>-1.3952930520446216</v>
      </c>
      <c r="X22" s="132">
        <f t="shared" si="21"/>
        <v>0.9153697925562909</v>
      </c>
      <c r="Y22" s="132">
        <f t="shared" si="21"/>
        <v>1.2804199666606593</v>
      </c>
      <c r="Z22" s="132">
        <f t="shared" si="21"/>
        <v>-3.3345536875993105</v>
      </c>
      <c r="AA22" s="132">
        <f aca="true" t="shared" si="22" ref="AA22:AK22">AA21/AA38*100-100</f>
        <v>-2.524811399444644</v>
      </c>
      <c r="AB22" s="132">
        <f t="shared" si="22"/>
        <v>-2.716213670695325</v>
      </c>
      <c r="AC22" s="132">
        <f t="shared" si="22"/>
        <v>1.230853609099654</v>
      </c>
      <c r="AD22" s="132">
        <f t="shared" si="22"/>
        <v>-5.842365596403937</v>
      </c>
      <c r="AE22" s="132">
        <f t="shared" si="22"/>
        <v>1.26491413214724</v>
      </c>
      <c r="AF22" s="132">
        <f t="shared" si="22"/>
        <v>-1.334561243222268</v>
      </c>
      <c r="AG22" s="132">
        <f t="shared" si="22"/>
        <v>1.4430473286043792</v>
      </c>
      <c r="AH22" s="132">
        <f t="shared" si="22"/>
        <v>4.460753662136767</v>
      </c>
      <c r="AI22" s="132">
        <f t="shared" si="22"/>
        <v>-3.65648879526897</v>
      </c>
      <c r="AJ22" s="132">
        <f t="shared" si="22"/>
        <v>1.3987815768664547</v>
      </c>
      <c r="AK22" s="132">
        <f t="shared" si="22"/>
        <v>-8.295967224854493</v>
      </c>
      <c r="AL22" s="150"/>
      <c r="AM22" s="150"/>
      <c r="AN22" s="70" t="s">
        <v>63</v>
      </c>
      <c r="AO22" s="132">
        <f>AO21/AO38*100-100</f>
        <v>-0.3369197414686482</v>
      </c>
      <c r="AP22" s="132">
        <f aca="true" t="shared" si="23" ref="AP22:BE22">AP21/AP38*100-100</f>
        <v>-0.17121179657063124</v>
      </c>
      <c r="AQ22" s="132">
        <f t="shared" si="23"/>
        <v>-0.05644516798182053</v>
      </c>
      <c r="AR22" s="132">
        <f t="shared" si="23"/>
        <v>-0.3939688124666674</v>
      </c>
      <c r="AS22" s="132">
        <f t="shared" si="23"/>
        <v>0.21922012467618401</v>
      </c>
      <c r="AT22" s="132">
        <f t="shared" si="23"/>
        <v>-0.3627172816830182</v>
      </c>
      <c r="AU22" s="132">
        <f t="shared" si="23"/>
        <v>-1.2053813027605287</v>
      </c>
      <c r="AV22" s="132">
        <f t="shared" si="23"/>
        <v>1.1155949886701961</v>
      </c>
      <c r="AW22" s="132">
        <f t="shared" si="23"/>
        <v>-0.4514879841857464</v>
      </c>
      <c r="AX22" s="132">
        <f t="shared" si="23"/>
        <v>-1.5586951941357228</v>
      </c>
      <c r="AY22" s="132">
        <f t="shared" si="23"/>
        <v>0.19220080280322804</v>
      </c>
      <c r="AZ22" s="132">
        <f t="shared" si="23"/>
        <v>1.5840215095353614</v>
      </c>
      <c r="BA22" s="132">
        <f t="shared" si="23"/>
        <v>-0.6706711700385455</v>
      </c>
      <c r="BB22" s="132">
        <f t="shared" si="23"/>
        <v>-7.8566505429351565</v>
      </c>
      <c r="BC22" s="132">
        <f t="shared" si="23"/>
        <v>-0.29767409144449175</v>
      </c>
      <c r="BD22" s="132">
        <f t="shared" si="23"/>
        <v>-0.5191101986817444</v>
      </c>
      <c r="BE22" s="132">
        <f t="shared" si="23"/>
        <v>-0.29343472617840405</v>
      </c>
      <c r="BF22" s="132">
        <f>BF21/BF38*100-100</f>
        <v>2.7064016491494556</v>
      </c>
      <c r="BG22" s="132">
        <f>BG21/BG38*100-100</f>
        <v>-8.142198376698914</v>
      </c>
      <c r="BH22" s="132">
        <f>BH21/BH38*100-100</f>
        <v>0.44039746076767017</v>
      </c>
      <c r="BI22" s="132">
        <f>BI21/BI38*100-100</f>
        <v>-3.9126738476280565</v>
      </c>
      <c r="BJ22" s="150"/>
    </row>
    <row r="23" spans="15:62" ht="13.5">
      <c r="O23" s="150"/>
      <c r="P23" s="73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227">
        <f>(AA21+AF21)/(AA38+AF38)*100-100</f>
        <v>-2.141370758941889</v>
      </c>
      <c r="AB23" s="70" t="s">
        <v>64</v>
      </c>
      <c r="AC23" s="148"/>
      <c r="AD23" s="148"/>
      <c r="AE23" s="132">
        <f>(AD21+AG21)/(AD38+AG38)*100-100</f>
        <v>1.118950174191653</v>
      </c>
      <c r="AF23" s="70" t="s">
        <v>65</v>
      </c>
      <c r="AG23" s="148"/>
      <c r="AH23" s="148"/>
      <c r="AI23" s="148"/>
      <c r="AJ23" s="148"/>
      <c r="AK23" s="148"/>
      <c r="AL23" s="150"/>
      <c r="AM23" s="150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227">
        <f>(AY21+BD21)/(AY38+BD38)*100-100</f>
        <v>0.08647485325130333</v>
      </c>
      <c r="AZ23" s="70" t="s">
        <v>64</v>
      </c>
      <c r="BA23" s="62"/>
      <c r="BB23" s="62"/>
      <c r="BC23" s="227">
        <f>(BB21+BE21)/(BB38+BE38)*100-100</f>
        <v>-0.5171887919444487</v>
      </c>
      <c r="BD23" s="70" t="s">
        <v>65</v>
      </c>
      <c r="BE23" s="62"/>
      <c r="BF23" s="62"/>
      <c r="BG23" s="62"/>
      <c r="BH23" s="62"/>
      <c r="BI23" s="62"/>
      <c r="BJ23" s="154"/>
    </row>
    <row r="24" spans="15:62" ht="14.25" thickBot="1">
      <c r="O24" s="150"/>
      <c r="P24" s="73"/>
      <c r="Q24" s="416" t="s">
        <v>185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227"/>
      <c r="AB24" s="70"/>
      <c r="AC24" s="148"/>
      <c r="AD24" s="148"/>
      <c r="AE24" s="132"/>
      <c r="AF24" s="70"/>
      <c r="AG24" s="148"/>
      <c r="AH24" s="148"/>
      <c r="AI24" s="148"/>
      <c r="AJ24" s="148"/>
      <c r="AK24" s="148"/>
      <c r="AL24" s="150"/>
      <c r="AM24" s="150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227"/>
      <c r="AZ24" s="70"/>
      <c r="BA24" s="62"/>
      <c r="BB24" s="62"/>
      <c r="BC24" s="227"/>
      <c r="BD24" s="70"/>
      <c r="BE24" s="62"/>
      <c r="BF24" s="62"/>
      <c r="BG24" s="62"/>
      <c r="BH24" s="62"/>
      <c r="BI24" s="62"/>
      <c r="BJ24" s="154"/>
    </row>
    <row r="25" spans="15:62" ht="11.25" thickBot="1">
      <c r="O25" s="150"/>
      <c r="P25" s="14"/>
      <c r="Q25" s="52" t="s">
        <v>12</v>
      </c>
      <c r="R25" s="279" t="s">
        <v>13</v>
      </c>
      <c r="S25" s="52" t="s">
        <v>14</v>
      </c>
      <c r="T25" s="54" t="s">
        <v>15</v>
      </c>
      <c r="U25" s="55" t="s">
        <v>16</v>
      </c>
      <c r="V25" s="52" t="s">
        <v>17</v>
      </c>
      <c r="W25" s="54" t="s">
        <v>15</v>
      </c>
      <c r="X25" s="55" t="s">
        <v>16</v>
      </c>
      <c r="Y25" s="52" t="s">
        <v>18</v>
      </c>
      <c r="Z25" s="53" t="s">
        <v>19</v>
      </c>
      <c r="AA25" s="52" t="s">
        <v>20</v>
      </c>
      <c r="AB25" s="54" t="s">
        <v>21</v>
      </c>
      <c r="AC25" s="55" t="s">
        <v>22</v>
      </c>
      <c r="AD25" s="52" t="s">
        <v>23</v>
      </c>
      <c r="AE25" s="53" t="s">
        <v>24</v>
      </c>
      <c r="AF25" s="56" t="s">
        <v>20</v>
      </c>
      <c r="AG25" s="52" t="s">
        <v>23</v>
      </c>
      <c r="AH25" s="54" t="s">
        <v>25</v>
      </c>
      <c r="AI25" s="57" t="s">
        <v>66</v>
      </c>
      <c r="AJ25" s="52" t="s">
        <v>27</v>
      </c>
      <c r="AK25" s="53" t="s">
        <v>28</v>
      </c>
      <c r="AL25" s="150"/>
      <c r="AM25" s="150"/>
      <c r="AN25" s="14"/>
      <c r="AO25" s="52" t="s">
        <v>12</v>
      </c>
      <c r="AP25" s="279" t="s">
        <v>13</v>
      </c>
      <c r="AQ25" s="52" t="s">
        <v>14</v>
      </c>
      <c r="AR25" s="54" t="s">
        <v>15</v>
      </c>
      <c r="AS25" s="55" t="s">
        <v>16</v>
      </c>
      <c r="AT25" s="52" t="s">
        <v>17</v>
      </c>
      <c r="AU25" s="54" t="s">
        <v>15</v>
      </c>
      <c r="AV25" s="55" t="s">
        <v>16</v>
      </c>
      <c r="AW25" s="52" t="s">
        <v>18</v>
      </c>
      <c r="AX25" s="53" t="s">
        <v>19</v>
      </c>
      <c r="AY25" s="52" t="s">
        <v>20</v>
      </c>
      <c r="AZ25" s="54" t="s">
        <v>21</v>
      </c>
      <c r="BA25" s="55" t="s">
        <v>22</v>
      </c>
      <c r="BB25" s="52" t="s">
        <v>23</v>
      </c>
      <c r="BC25" s="53" t="s">
        <v>24</v>
      </c>
      <c r="BD25" s="56" t="s">
        <v>20</v>
      </c>
      <c r="BE25" s="52" t="s">
        <v>23</v>
      </c>
      <c r="BF25" s="54" t="s">
        <v>25</v>
      </c>
      <c r="BG25" s="57" t="s">
        <v>26</v>
      </c>
      <c r="BH25" s="52" t="s">
        <v>27</v>
      </c>
      <c r="BI25" s="53" t="s">
        <v>28</v>
      </c>
      <c r="BJ25" s="150"/>
    </row>
    <row r="26" spans="15:62" ht="10.5">
      <c r="O26" s="150"/>
      <c r="P26" s="67" t="s">
        <v>50</v>
      </c>
      <c r="Q26" s="126">
        <f aca="true" t="shared" si="24" ref="Q26:Q38">R26+Y26+AJ26+AK26</f>
        <v>6979494.94</v>
      </c>
      <c r="R26" s="123">
        <f aca="true" t="shared" si="25" ref="R26:R36">S26+V26</f>
        <v>1859098</v>
      </c>
      <c r="S26" s="124">
        <f aca="true" t="shared" si="26" ref="S26:S36">T26+U26</f>
        <v>743496</v>
      </c>
      <c r="T26" s="115">
        <v>463877</v>
      </c>
      <c r="U26" s="125">
        <v>279619</v>
      </c>
      <c r="V26" s="124">
        <f>W26+X26-1</f>
        <v>1115602</v>
      </c>
      <c r="W26" s="115">
        <v>650733</v>
      </c>
      <c r="X26" s="125">
        <v>464870</v>
      </c>
      <c r="Y26" s="126">
        <f aca="true" t="shared" si="27" ref="Y26:Y38">Z26+AE26+AH26+AI26</f>
        <v>5113765</v>
      </c>
      <c r="Z26" s="123">
        <f aca="true" t="shared" si="28" ref="Z26:Z38">AA26+AD26</f>
        <v>588402</v>
      </c>
      <c r="AA26" s="124">
        <f aca="true" t="shared" si="29" ref="AA26:AA38">AB26+AC26</f>
        <v>462010</v>
      </c>
      <c r="AB26" s="115">
        <v>442784</v>
      </c>
      <c r="AC26" s="125">
        <v>19226</v>
      </c>
      <c r="AD26" s="124">
        <v>126392</v>
      </c>
      <c r="AE26" s="123">
        <f aca="true" t="shared" si="30" ref="AE26:AE38">AF26+AG26</f>
        <v>3147608</v>
      </c>
      <c r="AF26" s="420">
        <v>227340</v>
      </c>
      <c r="AG26" s="124">
        <v>2920268</v>
      </c>
      <c r="AH26" s="115">
        <v>1157000</v>
      </c>
      <c r="AI26" s="125">
        <v>220755</v>
      </c>
      <c r="AJ26" s="124">
        <v>6631.94</v>
      </c>
      <c r="AK26" s="123"/>
      <c r="AL26" s="150"/>
      <c r="AM26" s="150"/>
      <c r="AN26" s="67" t="s">
        <v>50</v>
      </c>
      <c r="AO26" s="126">
        <f aca="true" t="shared" si="31" ref="AO26:AO38">AP26+AW26+BH26+BI26</f>
        <v>117823512.215</v>
      </c>
      <c r="AP26" s="123">
        <f aca="true" t="shared" si="32" ref="AP26:AP37">AQ26+AT26</f>
        <v>34278205</v>
      </c>
      <c r="AQ26" s="124">
        <f aca="true" t="shared" si="33" ref="AQ26:AQ38">AR26+AS26</f>
        <v>21956898</v>
      </c>
      <c r="AR26" s="115">
        <v>9257666</v>
      </c>
      <c r="AS26" s="125">
        <v>12699232</v>
      </c>
      <c r="AT26" s="124">
        <f>AU26+AV26+1</f>
        <v>12321307</v>
      </c>
      <c r="AU26" s="115">
        <v>7844716</v>
      </c>
      <c r="AV26" s="125">
        <v>4476590</v>
      </c>
      <c r="AW26" s="126">
        <f aca="true" t="shared" si="34" ref="AW26:AW38">AX26+BC26+BF26+BG26</f>
        <v>77858780</v>
      </c>
      <c r="AX26" s="123">
        <f aca="true" t="shared" si="35" ref="AX26:AX38">AY26+BB26</f>
        <v>7016783</v>
      </c>
      <c r="AY26" s="124">
        <f aca="true" t="shared" si="36" ref="AY26:AY38">AZ26+BA26</f>
        <v>5540272</v>
      </c>
      <c r="AZ26" s="115">
        <v>2410600</v>
      </c>
      <c r="BA26" s="125">
        <v>3129672</v>
      </c>
      <c r="BB26" s="124">
        <v>1476511</v>
      </c>
      <c r="BC26" s="123">
        <f aca="true" t="shared" si="37" ref="BC26:BC38">BD26+BE26</f>
        <v>52245661</v>
      </c>
      <c r="BD26" s="420">
        <v>1105980</v>
      </c>
      <c r="BE26" s="124">
        <v>51139681</v>
      </c>
      <c r="BF26" s="115">
        <v>12906079</v>
      </c>
      <c r="BG26" s="125">
        <v>5690257</v>
      </c>
      <c r="BH26" s="124">
        <v>5686527.215</v>
      </c>
      <c r="BI26" s="123"/>
      <c r="BJ26" s="150"/>
    </row>
    <row r="27" spans="15:62" ht="10.5">
      <c r="O27" s="150"/>
      <c r="P27" s="67" t="s">
        <v>51</v>
      </c>
      <c r="Q27" s="126">
        <f t="shared" si="24"/>
        <v>7093846.208</v>
      </c>
      <c r="R27" s="123">
        <f t="shared" si="25"/>
        <v>1932938</v>
      </c>
      <c r="S27" s="124">
        <f t="shared" si="26"/>
        <v>778724</v>
      </c>
      <c r="T27" s="115">
        <v>502384</v>
      </c>
      <c r="U27" s="125">
        <v>276340</v>
      </c>
      <c r="V27" s="124">
        <f aca="true" t="shared" si="38" ref="V27:V37">W27+X27</f>
        <v>1154214</v>
      </c>
      <c r="W27" s="115">
        <v>698073</v>
      </c>
      <c r="X27" s="125">
        <v>456141</v>
      </c>
      <c r="Y27" s="126">
        <f t="shared" si="27"/>
        <v>5153445</v>
      </c>
      <c r="Z27" s="123">
        <f t="shared" si="28"/>
        <v>577716</v>
      </c>
      <c r="AA27" s="124">
        <f t="shared" si="29"/>
        <v>439615</v>
      </c>
      <c r="AB27" s="115">
        <v>414828</v>
      </c>
      <c r="AC27" s="125">
        <v>24787</v>
      </c>
      <c r="AD27" s="124">
        <v>138101</v>
      </c>
      <c r="AE27" s="123">
        <f t="shared" si="30"/>
        <v>3208336</v>
      </c>
      <c r="AF27" s="420">
        <v>206688</v>
      </c>
      <c r="AG27" s="124">
        <v>3001648</v>
      </c>
      <c r="AH27" s="115">
        <v>1162624</v>
      </c>
      <c r="AI27" s="125">
        <v>204769</v>
      </c>
      <c r="AJ27" s="124">
        <v>7463.208</v>
      </c>
      <c r="AK27" s="123"/>
      <c r="AL27" s="150"/>
      <c r="AM27" s="150"/>
      <c r="AN27" s="67" t="s">
        <v>51</v>
      </c>
      <c r="AO27" s="126">
        <f t="shared" si="31"/>
        <v>119948632.44</v>
      </c>
      <c r="AP27" s="123">
        <f t="shared" si="32"/>
        <v>33665411</v>
      </c>
      <c r="AQ27" s="124">
        <f t="shared" si="33"/>
        <v>20709331</v>
      </c>
      <c r="AR27" s="115">
        <v>9992603</v>
      </c>
      <c r="AS27" s="125">
        <v>10716728</v>
      </c>
      <c r="AT27" s="124">
        <f aca="true" t="shared" si="39" ref="AT27:AT35">AU27+AV27</f>
        <v>12956080</v>
      </c>
      <c r="AU27" s="115">
        <v>8461496</v>
      </c>
      <c r="AV27" s="125">
        <v>4494584</v>
      </c>
      <c r="AW27" s="126">
        <f t="shared" si="34"/>
        <v>79908150</v>
      </c>
      <c r="AX27" s="123">
        <f t="shared" si="35"/>
        <v>7878544</v>
      </c>
      <c r="AY27" s="124">
        <f t="shared" si="36"/>
        <v>6259724</v>
      </c>
      <c r="AZ27" s="115">
        <v>2257138</v>
      </c>
      <c r="BA27" s="125">
        <v>4002586</v>
      </c>
      <c r="BB27" s="124">
        <v>1618820</v>
      </c>
      <c r="BC27" s="123">
        <f t="shared" si="37"/>
        <v>53631977</v>
      </c>
      <c r="BD27" s="420">
        <v>1040053</v>
      </c>
      <c r="BE27" s="124">
        <v>52591924</v>
      </c>
      <c r="BF27" s="115">
        <v>13026810</v>
      </c>
      <c r="BG27" s="125">
        <v>5370819</v>
      </c>
      <c r="BH27" s="124">
        <v>6375071.44</v>
      </c>
      <c r="BI27" s="123"/>
      <c r="BJ27" s="150"/>
    </row>
    <row r="28" spans="15:62" ht="10.5">
      <c r="O28" s="150"/>
      <c r="P28" s="67" t="s">
        <v>52</v>
      </c>
      <c r="Q28" s="126">
        <f t="shared" si="24"/>
        <v>7020450.835</v>
      </c>
      <c r="R28" s="123">
        <f t="shared" si="25"/>
        <v>1874452</v>
      </c>
      <c r="S28" s="124">
        <f t="shared" si="26"/>
        <v>743703</v>
      </c>
      <c r="T28" s="115">
        <v>484170</v>
      </c>
      <c r="U28" s="125">
        <v>259533</v>
      </c>
      <c r="V28" s="124">
        <f t="shared" si="38"/>
        <v>1130749</v>
      </c>
      <c r="W28" s="115">
        <v>692633</v>
      </c>
      <c r="X28" s="125">
        <v>438116</v>
      </c>
      <c r="Y28" s="126">
        <f t="shared" si="27"/>
        <v>5138919</v>
      </c>
      <c r="Z28" s="123">
        <f t="shared" si="28"/>
        <v>617564</v>
      </c>
      <c r="AA28" s="124">
        <f t="shared" si="29"/>
        <v>453069</v>
      </c>
      <c r="AB28" s="115">
        <v>429638</v>
      </c>
      <c r="AC28" s="125">
        <v>23431</v>
      </c>
      <c r="AD28" s="124">
        <v>164495</v>
      </c>
      <c r="AE28" s="123">
        <f t="shared" si="30"/>
        <v>3132532</v>
      </c>
      <c r="AF28" s="420">
        <v>197271</v>
      </c>
      <c r="AG28" s="124">
        <v>2935261</v>
      </c>
      <c r="AH28" s="115">
        <v>1148821</v>
      </c>
      <c r="AI28" s="125">
        <v>240002</v>
      </c>
      <c r="AJ28" s="124">
        <v>7079.835</v>
      </c>
      <c r="AK28" s="123"/>
      <c r="AL28" s="150"/>
      <c r="AM28" s="150"/>
      <c r="AN28" s="67" t="s">
        <v>52</v>
      </c>
      <c r="AO28" s="126">
        <f t="shared" si="31"/>
        <v>116231601.325</v>
      </c>
      <c r="AP28" s="123">
        <f t="shared" si="32"/>
        <v>32213740</v>
      </c>
      <c r="AQ28" s="124">
        <f t="shared" si="33"/>
        <v>19707738</v>
      </c>
      <c r="AR28" s="115">
        <v>9596890</v>
      </c>
      <c r="AS28" s="125">
        <v>10110848</v>
      </c>
      <c r="AT28" s="124">
        <f t="shared" si="39"/>
        <v>12506002</v>
      </c>
      <c r="AU28" s="115">
        <v>8354020</v>
      </c>
      <c r="AV28" s="125">
        <v>4151982</v>
      </c>
      <c r="AW28" s="126">
        <f t="shared" si="34"/>
        <v>77918885</v>
      </c>
      <c r="AX28" s="123">
        <f t="shared" si="35"/>
        <v>8160613</v>
      </c>
      <c r="AY28" s="124">
        <f t="shared" si="36"/>
        <v>6322381</v>
      </c>
      <c r="AZ28" s="115">
        <v>2244405</v>
      </c>
      <c r="BA28" s="125">
        <v>4077976</v>
      </c>
      <c r="BB28" s="124">
        <v>1838232</v>
      </c>
      <c r="BC28" s="123">
        <f t="shared" si="37"/>
        <v>51568728</v>
      </c>
      <c r="BD28" s="420">
        <v>976632</v>
      </c>
      <c r="BE28" s="124">
        <v>50592096</v>
      </c>
      <c r="BF28" s="115">
        <v>12629699</v>
      </c>
      <c r="BG28" s="125">
        <v>5559845</v>
      </c>
      <c r="BH28" s="124">
        <v>6098976.325</v>
      </c>
      <c r="BI28" s="123"/>
      <c r="BJ28" s="150"/>
    </row>
    <row r="29" spans="15:62" ht="10.5">
      <c r="O29" s="150"/>
      <c r="P29" s="67" t="s">
        <v>53</v>
      </c>
      <c r="Q29" s="126">
        <f t="shared" si="24"/>
        <v>7223934.215</v>
      </c>
      <c r="R29" s="123">
        <f t="shared" si="25"/>
        <v>1843214</v>
      </c>
      <c r="S29" s="124">
        <f t="shared" si="26"/>
        <v>743214</v>
      </c>
      <c r="T29" s="115">
        <v>460635</v>
      </c>
      <c r="U29" s="125">
        <v>282579</v>
      </c>
      <c r="V29" s="124">
        <f t="shared" si="38"/>
        <v>1100000</v>
      </c>
      <c r="W29" s="115">
        <v>635167</v>
      </c>
      <c r="X29" s="125">
        <v>464833</v>
      </c>
      <c r="Y29" s="126">
        <f t="shared" si="27"/>
        <v>5372647</v>
      </c>
      <c r="Z29" s="123">
        <f t="shared" si="28"/>
        <v>602740</v>
      </c>
      <c r="AA29" s="124">
        <f t="shared" si="29"/>
        <v>445655</v>
      </c>
      <c r="AB29" s="115">
        <v>423160</v>
      </c>
      <c r="AC29" s="125">
        <v>22495</v>
      </c>
      <c r="AD29" s="124">
        <v>157085</v>
      </c>
      <c r="AE29" s="123">
        <f t="shared" si="30"/>
        <v>3315681</v>
      </c>
      <c r="AF29" s="420">
        <v>212066</v>
      </c>
      <c r="AG29" s="124">
        <v>3103615</v>
      </c>
      <c r="AH29" s="115">
        <v>1227864</v>
      </c>
      <c r="AI29" s="125">
        <v>226362</v>
      </c>
      <c r="AJ29" s="124">
        <v>8073.215</v>
      </c>
      <c r="AK29" s="123"/>
      <c r="AL29" s="150"/>
      <c r="AM29" s="150"/>
      <c r="AN29" s="67" t="s">
        <v>53</v>
      </c>
      <c r="AO29" s="126">
        <f t="shared" si="31"/>
        <v>123972797.374</v>
      </c>
      <c r="AP29" s="123">
        <f t="shared" si="32"/>
        <v>33183389</v>
      </c>
      <c r="AQ29" s="124">
        <f t="shared" si="33"/>
        <v>21080185</v>
      </c>
      <c r="AR29" s="115">
        <v>9192972</v>
      </c>
      <c r="AS29" s="125">
        <v>11887213</v>
      </c>
      <c r="AT29" s="124">
        <f t="shared" si="39"/>
        <v>12103204</v>
      </c>
      <c r="AU29" s="115">
        <v>7662440</v>
      </c>
      <c r="AV29" s="125">
        <v>4440764</v>
      </c>
      <c r="AW29" s="126">
        <f t="shared" si="34"/>
        <v>83725744</v>
      </c>
      <c r="AX29" s="123">
        <f t="shared" si="35"/>
        <v>7995986</v>
      </c>
      <c r="AY29" s="124">
        <f t="shared" si="36"/>
        <v>6193907</v>
      </c>
      <c r="AZ29" s="115">
        <v>2262330</v>
      </c>
      <c r="BA29" s="125">
        <v>3931577</v>
      </c>
      <c r="BB29" s="124">
        <v>1802079</v>
      </c>
      <c r="BC29" s="123">
        <f t="shared" si="37"/>
        <v>55930661</v>
      </c>
      <c r="BD29" s="420">
        <v>1031558</v>
      </c>
      <c r="BE29" s="124">
        <v>54899103</v>
      </c>
      <c r="BF29" s="115">
        <v>13885277</v>
      </c>
      <c r="BG29" s="125">
        <v>5913820</v>
      </c>
      <c r="BH29" s="124">
        <v>7063664.374</v>
      </c>
      <c r="BI29" s="123"/>
      <c r="BJ29" s="150"/>
    </row>
    <row r="30" spans="15:62" ht="10.5">
      <c r="O30" s="150"/>
      <c r="P30" s="67" t="s">
        <v>54</v>
      </c>
      <c r="Q30" s="126">
        <f t="shared" si="24"/>
        <v>6912767.377</v>
      </c>
      <c r="R30" s="123">
        <f t="shared" si="25"/>
        <v>1771606</v>
      </c>
      <c r="S30" s="124">
        <f t="shared" si="26"/>
        <v>716131</v>
      </c>
      <c r="T30" s="115">
        <v>434359</v>
      </c>
      <c r="U30" s="125">
        <v>281772</v>
      </c>
      <c r="V30" s="124">
        <f t="shared" si="38"/>
        <v>1055475</v>
      </c>
      <c r="W30" s="115">
        <v>603475</v>
      </c>
      <c r="X30" s="125">
        <v>452000</v>
      </c>
      <c r="Y30" s="126">
        <f t="shared" si="27"/>
        <v>5131473</v>
      </c>
      <c r="Z30" s="123">
        <f t="shared" si="28"/>
        <v>516716</v>
      </c>
      <c r="AA30" s="124">
        <f t="shared" si="29"/>
        <v>416483</v>
      </c>
      <c r="AB30" s="115">
        <v>397470</v>
      </c>
      <c r="AC30" s="125">
        <v>19013</v>
      </c>
      <c r="AD30" s="124">
        <v>100233</v>
      </c>
      <c r="AE30" s="123">
        <f t="shared" si="30"/>
        <v>3218048</v>
      </c>
      <c r="AF30" s="420">
        <v>208490</v>
      </c>
      <c r="AG30" s="124">
        <v>3009558</v>
      </c>
      <c r="AH30" s="115">
        <v>1196347</v>
      </c>
      <c r="AI30" s="125">
        <v>200362</v>
      </c>
      <c r="AJ30" s="124">
        <v>9688.377</v>
      </c>
      <c r="AK30" s="123"/>
      <c r="AL30" s="150"/>
      <c r="AM30" s="150"/>
      <c r="AN30" s="67" t="s">
        <v>54</v>
      </c>
      <c r="AO30" s="126">
        <f t="shared" si="31"/>
        <v>121151694.401</v>
      </c>
      <c r="AP30" s="123">
        <f t="shared" si="32"/>
        <v>32176729</v>
      </c>
      <c r="AQ30" s="124">
        <f t="shared" si="33"/>
        <v>20440199</v>
      </c>
      <c r="AR30" s="115">
        <v>8549094</v>
      </c>
      <c r="AS30" s="125">
        <v>11891105</v>
      </c>
      <c r="AT30" s="124">
        <f t="shared" si="39"/>
        <v>11736530</v>
      </c>
      <c r="AU30" s="115">
        <v>7217727</v>
      </c>
      <c r="AV30" s="125">
        <v>4518803</v>
      </c>
      <c r="AW30" s="126">
        <f t="shared" si="34"/>
        <v>80504506</v>
      </c>
      <c r="AX30" s="123">
        <f t="shared" si="35"/>
        <v>7004026</v>
      </c>
      <c r="AY30" s="124">
        <f t="shared" si="36"/>
        <v>5741491</v>
      </c>
      <c r="AZ30" s="115">
        <v>2251998</v>
      </c>
      <c r="BA30" s="125">
        <v>3489493</v>
      </c>
      <c r="BB30" s="124">
        <v>1262535</v>
      </c>
      <c r="BC30" s="123">
        <f t="shared" si="37"/>
        <v>54613418</v>
      </c>
      <c r="BD30" s="420">
        <v>1000534</v>
      </c>
      <c r="BE30" s="124">
        <v>53612884</v>
      </c>
      <c r="BF30" s="115">
        <v>13687060</v>
      </c>
      <c r="BG30" s="125">
        <v>5200002</v>
      </c>
      <c r="BH30" s="124">
        <v>8470459.401</v>
      </c>
      <c r="BI30" s="123"/>
      <c r="BJ30" s="150"/>
    </row>
    <row r="31" spans="15:62" ht="10.5">
      <c r="O31" s="150"/>
      <c r="P31" s="67" t="s">
        <v>55</v>
      </c>
      <c r="Q31" s="126">
        <f t="shared" si="24"/>
        <v>7037658.579</v>
      </c>
      <c r="R31" s="123">
        <f t="shared" si="25"/>
        <v>1786153</v>
      </c>
      <c r="S31" s="124">
        <f t="shared" si="26"/>
        <v>720930</v>
      </c>
      <c r="T31" s="115">
        <v>463510</v>
      </c>
      <c r="U31" s="125">
        <v>257420</v>
      </c>
      <c r="V31" s="124">
        <f t="shared" si="38"/>
        <v>1065223</v>
      </c>
      <c r="W31" s="115">
        <v>639938</v>
      </c>
      <c r="X31" s="125">
        <v>425285</v>
      </c>
      <c r="Y31" s="126">
        <f t="shared" si="27"/>
        <v>5243959</v>
      </c>
      <c r="Z31" s="123">
        <f t="shared" si="28"/>
        <v>583633</v>
      </c>
      <c r="AA31" s="124">
        <f t="shared" si="29"/>
        <v>442169</v>
      </c>
      <c r="AB31" s="115">
        <v>421989</v>
      </c>
      <c r="AC31" s="125">
        <v>20180</v>
      </c>
      <c r="AD31" s="124">
        <v>141464</v>
      </c>
      <c r="AE31" s="123">
        <f t="shared" si="30"/>
        <v>3276834</v>
      </c>
      <c r="AF31" s="420">
        <v>201259</v>
      </c>
      <c r="AG31" s="124">
        <v>3075575</v>
      </c>
      <c r="AH31" s="115">
        <v>1180836</v>
      </c>
      <c r="AI31" s="125">
        <v>202656</v>
      </c>
      <c r="AJ31" s="124">
        <v>7546.579</v>
      </c>
      <c r="AK31" s="123"/>
      <c r="AL31" s="150"/>
      <c r="AM31" s="150"/>
      <c r="AN31" s="67" t="s">
        <v>55</v>
      </c>
      <c r="AO31" s="126">
        <f t="shared" si="31"/>
        <v>118277026.197</v>
      </c>
      <c r="AP31" s="123">
        <f t="shared" si="32"/>
        <v>30658118</v>
      </c>
      <c r="AQ31" s="124">
        <f t="shared" si="33"/>
        <v>18818803</v>
      </c>
      <c r="AR31" s="115">
        <v>9240031</v>
      </c>
      <c r="AS31" s="125">
        <v>9578772</v>
      </c>
      <c r="AT31" s="124">
        <f>AU31+AV31</f>
        <v>11839315</v>
      </c>
      <c r="AU31" s="115">
        <v>7717056</v>
      </c>
      <c r="AV31" s="125">
        <v>4122259</v>
      </c>
      <c r="AW31" s="126">
        <f t="shared" si="34"/>
        <v>81030862</v>
      </c>
      <c r="AX31" s="123">
        <f t="shared" si="35"/>
        <v>7392467</v>
      </c>
      <c r="AY31" s="124">
        <f t="shared" si="36"/>
        <v>5786143</v>
      </c>
      <c r="AZ31" s="115">
        <v>2248490</v>
      </c>
      <c r="BA31" s="125">
        <v>3537653</v>
      </c>
      <c r="BB31" s="124">
        <v>1606324</v>
      </c>
      <c r="BC31" s="123">
        <f t="shared" si="37"/>
        <v>55043149</v>
      </c>
      <c r="BD31" s="420">
        <v>1001647</v>
      </c>
      <c r="BE31" s="124">
        <v>54041502</v>
      </c>
      <c r="BF31" s="115">
        <v>13327023</v>
      </c>
      <c r="BG31" s="125">
        <v>5268223</v>
      </c>
      <c r="BH31" s="124">
        <v>6588046.197</v>
      </c>
      <c r="BI31" s="123"/>
      <c r="BJ31" s="150"/>
    </row>
    <row r="32" spans="15:62" ht="10.5">
      <c r="O32" s="150"/>
      <c r="P32" s="67" t="s">
        <v>56</v>
      </c>
      <c r="Q32" s="126">
        <f t="shared" si="24"/>
        <v>7107943.253</v>
      </c>
      <c r="R32" s="123">
        <f t="shared" si="25"/>
        <v>1869681</v>
      </c>
      <c r="S32" s="124">
        <f t="shared" si="26"/>
        <v>753099</v>
      </c>
      <c r="T32" s="115">
        <v>479929</v>
      </c>
      <c r="U32" s="125">
        <v>273170</v>
      </c>
      <c r="V32" s="124">
        <f>W32+X32+1</f>
        <v>1116582</v>
      </c>
      <c r="W32" s="115">
        <v>666783</v>
      </c>
      <c r="X32" s="125">
        <v>449798</v>
      </c>
      <c r="Y32" s="126">
        <f t="shared" si="27"/>
        <v>5229795</v>
      </c>
      <c r="Z32" s="123">
        <f t="shared" si="28"/>
        <v>611156</v>
      </c>
      <c r="AA32" s="124">
        <f t="shared" si="29"/>
        <v>448370</v>
      </c>
      <c r="AB32" s="115">
        <v>420318</v>
      </c>
      <c r="AC32" s="125">
        <v>28052</v>
      </c>
      <c r="AD32" s="124">
        <v>162786</v>
      </c>
      <c r="AE32" s="123">
        <f t="shared" si="30"/>
        <v>3199459</v>
      </c>
      <c r="AF32" s="420">
        <v>190926</v>
      </c>
      <c r="AG32" s="124">
        <v>3008533</v>
      </c>
      <c r="AH32" s="115">
        <v>1179862</v>
      </c>
      <c r="AI32" s="125">
        <v>239318</v>
      </c>
      <c r="AJ32" s="124">
        <v>8467.253</v>
      </c>
      <c r="AK32" s="123"/>
      <c r="AL32" s="150"/>
      <c r="AM32" s="150"/>
      <c r="AN32" s="67" t="s">
        <v>56</v>
      </c>
      <c r="AO32" s="126">
        <f t="shared" si="31"/>
        <v>124735643.216</v>
      </c>
      <c r="AP32" s="123">
        <f t="shared" si="32"/>
        <v>34603557</v>
      </c>
      <c r="AQ32" s="124">
        <f t="shared" si="33"/>
        <v>22146994</v>
      </c>
      <c r="AR32" s="115">
        <v>9546569</v>
      </c>
      <c r="AS32" s="125">
        <v>12600425</v>
      </c>
      <c r="AT32" s="124">
        <f>AU32+AV32</f>
        <v>12456563</v>
      </c>
      <c r="AU32" s="115">
        <v>8080870</v>
      </c>
      <c r="AV32" s="125">
        <v>4375693</v>
      </c>
      <c r="AW32" s="126">
        <f t="shared" si="34"/>
        <v>82805521</v>
      </c>
      <c r="AX32" s="123">
        <f t="shared" si="35"/>
        <v>9085580</v>
      </c>
      <c r="AY32" s="124">
        <f t="shared" si="36"/>
        <v>7304538</v>
      </c>
      <c r="AZ32" s="115">
        <v>2287484</v>
      </c>
      <c r="BA32" s="125">
        <v>5017054</v>
      </c>
      <c r="BB32" s="124">
        <v>1781042</v>
      </c>
      <c r="BC32" s="123">
        <f t="shared" si="37"/>
        <v>55088845</v>
      </c>
      <c r="BD32" s="420">
        <v>977949</v>
      </c>
      <c r="BE32" s="124">
        <v>54110896</v>
      </c>
      <c r="BF32" s="115">
        <v>13024607</v>
      </c>
      <c r="BG32" s="125">
        <v>5606489</v>
      </c>
      <c r="BH32" s="124">
        <v>7326565.216</v>
      </c>
      <c r="BI32" s="123"/>
      <c r="BJ32" s="150"/>
    </row>
    <row r="33" spans="15:62" ht="10.5">
      <c r="O33" s="150"/>
      <c r="P33" s="67" t="s">
        <v>57</v>
      </c>
      <c r="Q33" s="126">
        <f t="shared" si="24"/>
        <v>7040647.88</v>
      </c>
      <c r="R33" s="123">
        <f t="shared" si="25"/>
        <v>1844141</v>
      </c>
      <c r="S33" s="124">
        <f t="shared" si="26"/>
        <v>734146</v>
      </c>
      <c r="T33" s="115">
        <v>465664</v>
      </c>
      <c r="U33" s="125">
        <v>268482</v>
      </c>
      <c r="V33" s="124">
        <f t="shared" si="38"/>
        <v>1109995</v>
      </c>
      <c r="W33" s="115">
        <v>666793</v>
      </c>
      <c r="X33" s="125">
        <v>443202</v>
      </c>
      <c r="Y33" s="126">
        <f t="shared" si="27"/>
        <v>5188779</v>
      </c>
      <c r="Z33" s="123">
        <f t="shared" si="28"/>
        <v>594316</v>
      </c>
      <c r="AA33" s="124">
        <f t="shared" si="29"/>
        <v>433834</v>
      </c>
      <c r="AB33" s="115">
        <v>409195</v>
      </c>
      <c r="AC33" s="125">
        <v>24639</v>
      </c>
      <c r="AD33" s="124">
        <v>160482</v>
      </c>
      <c r="AE33" s="123">
        <f t="shared" si="30"/>
        <v>3201266</v>
      </c>
      <c r="AF33" s="420">
        <v>197896</v>
      </c>
      <c r="AG33" s="124">
        <v>3003370</v>
      </c>
      <c r="AH33" s="115">
        <v>1175865</v>
      </c>
      <c r="AI33" s="125">
        <v>217332</v>
      </c>
      <c r="AJ33" s="124">
        <v>7727.88</v>
      </c>
      <c r="AK33" s="123"/>
      <c r="AL33" s="150"/>
      <c r="AM33" s="150"/>
      <c r="AN33" s="67" t="s">
        <v>57</v>
      </c>
      <c r="AO33" s="126">
        <f t="shared" si="31"/>
        <v>120953382.058</v>
      </c>
      <c r="AP33" s="123">
        <f t="shared" si="32"/>
        <v>32620544</v>
      </c>
      <c r="AQ33" s="124">
        <f t="shared" si="33"/>
        <v>20184945</v>
      </c>
      <c r="AR33" s="115">
        <v>9264985</v>
      </c>
      <c r="AS33" s="125">
        <v>10919960</v>
      </c>
      <c r="AT33" s="124">
        <f>AU33+AV33-1</f>
        <v>12435599</v>
      </c>
      <c r="AU33" s="115">
        <v>8069019</v>
      </c>
      <c r="AV33" s="125">
        <v>4366581</v>
      </c>
      <c r="AW33" s="126">
        <f t="shared" si="34"/>
        <v>81713746</v>
      </c>
      <c r="AX33" s="123">
        <f t="shared" si="35"/>
        <v>8724025</v>
      </c>
      <c r="AY33" s="124">
        <f t="shared" si="36"/>
        <v>6856817</v>
      </c>
      <c r="AZ33" s="115">
        <v>2204186</v>
      </c>
      <c r="BA33" s="125">
        <v>4652631</v>
      </c>
      <c r="BB33" s="124">
        <v>1867208</v>
      </c>
      <c r="BC33" s="123">
        <f t="shared" si="37"/>
        <v>54211910</v>
      </c>
      <c r="BD33" s="420">
        <v>969005</v>
      </c>
      <c r="BE33" s="124">
        <v>53242905</v>
      </c>
      <c r="BF33" s="115">
        <v>13106024</v>
      </c>
      <c r="BG33" s="125">
        <v>5671787</v>
      </c>
      <c r="BH33" s="124">
        <v>6619092.058</v>
      </c>
      <c r="BI33" s="123"/>
      <c r="BJ33" s="150"/>
    </row>
    <row r="34" spans="15:62" ht="10.5">
      <c r="O34" s="150"/>
      <c r="P34" s="67" t="s">
        <v>58</v>
      </c>
      <c r="Q34" s="126">
        <f t="shared" si="24"/>
        <v>7068275.726</v>
      </c>
      <c r="R34" s="123">
        <f>S34+V34-1</f>
        <v>1744367</v>
      </c>
      <c r="S34" s="124">
        <f>T34+U34-1</f>
        <v>698179</v>
      </c>
      <c r="T34" s="115">
        <v>419130</v>
      </c>
      <c r="U34" s="125">
        <v>279050</v>
      </c>
      <c r="V34" s="124">
        <f>W34+X34+1</f>
        <v>1046189</v>
      </c>
      <c r="W34" s="115">
        <v>580915</v>
      </c>
      <c r="X34" s="125">
        <v>465273</v>
      </c>
      <c r="Y34" s="126">
        <f t="shared" si="27"/>
        <v>5317436</v>
      </c>
      <c r="Z34" s="123">
        <f t="shared" si="28"/>
        <v>524537</v>
      </c>
      <c r="AA34" s="124">
        <f t="shared" si="29"/>
        <v>410923</v>
      </c>
      <c r="AB34" s="115">
        <v>395502</v>
      </c>
      <c r="AC34" s="125">
        <v>15421</v>
      </c>
      <c r="AD34" s="124">
        <v>113614</v>
      </c>
      <c r="AE34" s="123">
        <f t="shared" si="30"/>
        <v>3360759</v>
      </c>
      <c r="AF34" s="420">
        <v>221911</v>
      </c>
      <c r="AG34" s="124">
        <v>3138848</v>
      </c>
      <c r="AH34" s="115">
        <v>1226124</v>
      </c>
      <c r="AI34" s="125">
        <v>206016</v>
      </c>
      <c r="AJ34" s="124">
        <v>6472.726</v>
      </c>
      <c r="AK34" s="123"/>
      <c r="AL34" s="150"/>
      <c r="AM34" s="150"/>
      <c r="AN34" s="67" t="s">
        <v>58</v>
      </c>
      <c r="AO34" s="126">
        <f t="shared" si="31"/>
        <v>116759319.684</v>
      </c>
      <c r="AP34" s="123">
        <f t="shared" si="32"/>
        <v>30254352</v>
      </c>
      <c r="AQ34" s="124">
        <f t="shared" si="33"/>
        <v>18860306</v>
      </c>
      <c r="AR34" s="115">
        <v>8218959</v>
      </c>
      <c r="AS34" s="125">
        <v>10641347</v>
      </c>
      <c r="AT34" s="124">
        <f t="shared" si="39"/>
        <v>11394046</v>
      </c>
      <c r="AU34" s="115">
        <v>6942494</v>
      </c>
      <c r="AV34" s="125">
        <v>4451552</v>
      </c>
      <c r="AW34" s="126">
        <f t="shared" si="34"/>
        <v>80947742</v>
      </c>
      <c r="AX34" s="123">
        <f t="shared" si="35"/>
        <v>5648581</v>
      </c>
      <c r="AY34" s="124">
        <f t="shared" si="36"/>
        <v>4264535</v>
      </c>
      <c r="AZ34" s="115">
        <v>2102538</v>
      </c>
      <c r="BA34" s="125">
        <v>2161997</v>
      </c>
      <c r="BB34" s="124">
        <v>1384046</v>
      </c>
      <c r="BC34" s="123">
        <f t="shared" si="37"/>
        <v>56211608</v>
      </c>
      <c r="BD34" s="420">
        <v>1070838</v>
      </c>
      <c r="BE34" s="124">
        <v>55140770</v>
      </c>
      <c r="BF34" s="115">
        <v>13665615</v>
      </c>
      <c r="BG34" s="125">
        <v>5421938</v>
      </c>
      <c r="BH34" s="124">
        <v>5557225.684</v>
      </c>
      <c r="BI34" s="123"/>
      <c r="BJ34" s="150"/>
    </row>
    <row r="35" spans="15:62" ht="10.5">
      <c r="O35" s="150"/>
      <c r="P35" s="67" t="s">
        <v>59</v>
      </c>
      <c r="Q35" s="126">
        <f t="shared" si="24"/>
        <v>6859298.251</v>
      </c>
      <c r="R35" s="123">
        <f t="shared" si="25"/>
        <v>1786807</v>
      </c>
      <c r="S35" s="124">
        <f t="shared" si="26"/>
        <v>724285</v>
      </c>
      <c r="T35" s="115">
        <v>463680</v>
      </c>
      <c r="U35" s="125">
        <v>260605</v>
      </c>
      <c r="V35" s="124">
        <f t="shared" si="38"/>
        <v>1062522</v>
      </c>
      <c r="W35" s="115">
        <v>623724</v>
      </c>
      <c r="X35" s="125">
        <v>438798</v>
      </c>
      <c r="Y35" s="126">
        <f t="shared" si="27"/>
        <v>5065824</v>
      </c>
      <c r="Z35" s="123">
        <f t="shared" si="28"/>
        <v>530195</v>
      </c>
      <c r="AA35" s="124">
        <f t="shared" si="29"/>
        <v>410119</v>
      </c>
      <c r="AB35" s="115">
        <v>393757</v>
      </c>
      <c r="AC35" s="125">
        <v>16362</v>
      </c>
      <c r="AD35" s="124">
        <v>120076</v>
      </c>
      <c r="AE35" s="123">
        <f t="shared" si="30"/>
        <v>3245557</v>
      </c>
      <c r="AF35" s="420">
        <v>214916</v>
      </c>
      <c r="AG35" s="124">
        <v>3030641</v>
      </c>
      <c r="AH35" s="115">
        <v>1108360</v>
      </c>
      <c r="AI35" s="125">
        <v>181712</v>
      </c>
      <c r="AJ35" s="124">
        <v>6667.251</v>
      </c>
      <c r="AK35" s="123"/>
      <c r="AL35" s="150"/>
      <c r="AM35" s="150"/>
      <c r="AN35" s="67" t="s">
        <v>59</v>
      </c>
      <c r="AO35" s="126">
        <f t="shared" si="31"/>
        <v>115567960.654</v>
      </c>
      <c r="AP35" s="123">
        <f t="shared" si="32"/>
        <v>31357794</v>
      </c>
      <c r="AQ35" s="124">
        <f t="shared" si="33"/>
        <v>19516505</v>
      </c>
      <c r="AR35" s="115">
        <v>9300812</v>
      </c>
      <c r="AS35" s="125">
        <v>10215693</v>
      </c>
      <c r="AT35" s="124">
        <f t="shared" si="39"/>
        <v>11841289</v>
      </c>
      <c r="AU35" s="115">
        <v>7561227</v>
      </c>
      <c r="AV35" s="125">
        <v>4280062</v>
      </c>
      <c r="AW35" s="126">
        <f t="shared" si="34"/>
        <v>78404608</v>
      </c>
      <c r="AX35" s="123">
        <f t="shared" si="35"/>
        <v>6006868</v>
      </c>
      <c r="AY35" s="124">
        <f t="shared" si="36"/>
        <v>4560312</v>
      </c>
      <c r="AZ35" s="115">
        <v>2101372</v>
      </c>
      <c r="BA35" s="125">
        <v>2458940</v>
      </c>
      <c r="BB35" s="124">
        <v>1446556</v>
      </c>
      <c r="BC35" s="123">
        <f t="shared" si="37"/>
        <v>55008968</v>
      </c>
      <c r="BD35" s="420">
        <v>1043452</v>
      </c>
      <c r="BE35" s="124">
        <v>53965516</v>
      </c>
      <c r="BF35" s="115">
        <v>12558122</v>
      </c>
      <c r="BG35" s="125">
        <v>4830650</v>
      </c>
      <c r="BH35" s="124">
        <v>5805558.654</v>
      </c>
      <c r="BI35" s="123"/>
      <c r="BJ35" s="150"/>
    </row>
    <row r="36" spans="15:62" ht="10.5">
      <c r="O36" s="150"/>
      <c r="P36" s="67" t="s">
        <v>60</v>
      </c>
      <c r="Q36" s="126">
        <f t="shared" si="24"/>
        <v>6469049.376</v>
      </c>
      <c r="R36" s="123">
        <f t="shared" si="25"/>
        <v>1680869</v>
      </c>
      <c r="S36" s="124">
        <f t="shared" si="26"/>
        <v>655767</v>
      </c>
      <c r="T36" s="115">
        <v>403507</v>
      </c>
      <c r="U36" s="125">
        <v>252260</v>
      </c>
      <c r="V36" s="124">
        <f>W36+X36-2</f>
        <v>1025102</v>
      </c>
      <c r="W36" s="115">
        <v>601303</v>
      </c>
      <c r="X36" s="125">
        <v>423801</v>
      </c>
      <c r="Y36" s="126">
        <f t="shared" si="27"/>
        <v>4780867</v>
      </c>
      <c r="Z36" s="123">
        <f t="shared" si="28"/>
        <v>554270</v>
      </c>
      <c r="AA36" s="124">
        <f t="shared" si="29"/>
        <v>395781</v>
      </c>
      <c r="AB36" s="115">
        <v>376348</v>
      </c>
      <c r="AC36" s="125">
        <v>19433</v>
      </c>
      <c r="AD36" s="124">
        <v>158489</v>
      </c>
      <c r="AE36" s="123">
        <f t="shared" si="30"/>
        <v>2893933</v>
      </c>
      <c r="AF36" s="420">
        <v>178807</v>
      </c>
      <c r="AG36" s="124">
        <v>2715126</v>
      </c>
      <c r="AH36" s="115">
        <v>1114047</v>
      </c>
      <c r="AI36" s="125">
        <v>218617</v>
      </c>
      <c r="AJ36" s="124">
        <v>7313.376</v>
      </c>
      <c r="AK36" s="123"/>
      <c r="AL36" s="150"/>
      <c r="AM36" s="150"/>
      <c r="AN36" s="67" t="s">
        <v>60</v>
      </c>
      <c r="AO36" s="126">
        <f t="shared" si="31"/>
        <v>107666325.541</v>
      </c>
      <c r="AP36" s="123">
        <f t="shared" si="32"/>
        <v>29345878</v>
      </c>
      <c r="AQ36" s="124">
        <f t="shared" si="33"/>
        <v>18108276</v>
      </c>
      <c r="AR36" s="115">
        <v>7916470</v>
      </c>
      <c r="AS36" s="125">
        <v>10191806</v>
      </c>
      <c r="AT36" s="124">
        <f>AU36+AV36</f>
        <v>11237602</v>
      </c>
      <c r="AU36" s="115">
        <v>7184951</v>
      </c>
      <c r="AV36" s="125">
        <v>4052651</v>
      </c>
      <c r="AW36" s="126">
        <f t="shared" si="34"/>
        <v>71923213</v>
      </c>
      <c r="AX36" s="123">
        <f t="shared" si="35"/>
        <v>6853059</v>
      </c>
      <c r="AY36" s="124">
        <f t="shared" si="36"/>
        <v>5184011</v>
      </c>
      <c r="AZ36" s="115">
        <v>1983611</v>
      </c>
      <c r="BA36" s="125">
        <v>3200400</v>
      </c>
      <c r="BB36" s="124">
        <v>1669048</v>
      </c>
      <c r="BC36" s="123">
        <f t="shared" si="37"/>
        <v>48496738</v>
      </c>
      <c r="BD36" s="420">
        <v>888773</v>
      </c>
      <c r="BE36" s="124">
        <v>47607965</v>
      </c>
      <c r="BF36" s="115">
        <v>11774418</v>
      </c>
      <c r="BG36" s="125">
        <v>4798998</v>
      </c>
      <c r="BH36" s="124">
        <v>6397234.541</v>
      </c>
      <c r="BI36" s="123"/>
      <c r="BJ36" s="150"/>
    </row>
    <row r="37" spans="15:62" ht="10.5">
      <c r="O37" s="150"/>
      <c r="P37" s="233" t="s">
        <v>61</v>
      </c>
      <c r="Q37" s="133">
        <f t="shared" si="24"/>
        <v>7075323.858</v>
      </c>
      <c r="R37" s="134">
        <f>S37+V37-2</f>
        <v>1756943</v>
      </c>
      <c r="S37" s="127">
        <f>T37+U37</f>
        <v>705837</v>
      </c>
      <c r="T37" s="135">
        <v>414593</v>
      </c>
      <c r="U37" s="136">
        <v>291244</v>
      </c>
      <c r="V37" s="127">
        <f t="shared" si="38"/>
        <v>1051108</v>
      </c>
      <c r="W37" s="135">
        <v>569398</v>
      </c>
      <c r="X37" s="136">
        <v>481710</v>
      </c>
      <c r="Y37" s="133">
        <f t="shared" si="27"/>
        <v>5309921</v>
      </c>
      <c r="Z37" s="134">
        <f t="shared" si="28"/>
        <v>562882</v>
      </c>
      <c r="AA37" s="127">
        <f t="shared" si="29"/>
        <v>430716</v>
      </c>
      <c r="AB37" s="135">
        <v>412141</v>
      </c>
      <c r="AC37" s="136">
        <v>18575</v>
      </c>
      <c r="AD37" s="127">
        <v>132166</v>
      </c>
      <c r="AE37" s="134">
        <f t="shared" si="30"/>
        <v>3251688</v>
      </c>
      <c r="AF37" s="421">
        <v>208409</v>
      </c>
      <c r="AG37" s="127">
        <v>3043279</v>
      </c>
      <c r="AH37" s="135">
        <v>1274029</v>
      </c>
      <c r="AI37" s="136">
        <v>221322</v>
      </c>
      <c r="AJ37" s="127">
        <v>8459.858</v>
      </c>
      <c r="AK37" s="134"/>
      <c r="AL37" s="150"/>
      <c r="AM37" s="150"/>
      <c r="AN37" s="233" t="s">
        <v>61</v>
      </c>
      <c r="AO37" s="133">
        <f t="shared" si="31"/>
        <v>116924878.945</v>
      </c>
      <c r="AP37" s="134">
        <f t="shared" si="32"/>
        <v>30743086</v>
      </c>
      <c r="AQ37" s="127">
        <f t="shared" si="33"/>
        <v>19264568</v>
      </c>
      <c r="AR37" s="135">
        <v>8174665</v>
      </c>
      <c r="AS37" s="136">
        <v>11089903</v>
      </c>
      <c r="AT37" s="127">
        <f>AU37+AV37</f>
        <v>11478518</v>
      </c>
      <c r="AU37" s="135">
        <v>6817638</v>
      </c>
      <c r="AV37" s="136">
        <v>4660880</v>
      </c>
      <c r="AW37" s="133">
        <f t="shared" si="34"/>
        <v>78821658</v>
      </c>
      <c r="AX37" s="134">
        <f t="shared" si="35"/>
        <v>6919826</v>
      </c>
      <c r="AY37" s="127">
        <f t="shared" si="36"/>
        <v>5379960</v>
      </c>
      <c r="AZ37" s="135">
        <v>2203000</v>
      </c>
      <c r="BA37" s="136">
        <v>3176960</v>
      </c>
      <c r="BB37" s="127">
        <v>1539866</v>
      </c>
      <c r="BC37" s="134">
        <f t="shared" si="37"/>
        <v>52878163</v>
      </c>
      <c r="BD37" s="421">
        <v>1008733</v>
      </c>
      <c r="BE37" s="127">
        <v>51869430</v>
      </c>
      <c r="BF37" s="135">
        <v>13657840</v>
      </c>
      <c r="BG37" s="136">
        <v>5365829</v>
      </c>
      <c r="BH37" s="127">
        <v>7360134.944999999</v>
      </c>
      <c r="BI37" s="134"/>
      <c r="BJ37" s="150"/>
    </row>
    <row r="38" spans="15:62" ht="11.25" thickBot="1">
      <c r="O38" s="150"/>
      <c r="P38" s="234" t="s">
        <v>188</v>
      </c>
      <c r="Q38" s="140">
        <f t="shared" si="24"/>
        <v>84008787.498</v>
      </c>
      <c r="R38" s="137">
        <f>S38+V38</f>
        <v>21750275</v>
      </c>
      <c r="S38" s="128">
        <f>T38+U38</f>
        <v>8717512</v>
      </c>
      <c r="T38" s="138">
        <f>SUM(T26:T37)</f>
        <v>5455438</v>
      </c>
      <c r="U38" s="139">
        <f>SUM(U26:U37)</f>
        <v>3262074</v>
      </c>
      <c r="V38" s="128">
        <f>SUM(V26:V37)+2</f>
        <v>13032763</v>
      </c>
      <c r="W38" s="138">
        <f>SUM(W26:W37)</f>
        <v>7628935</v>
      </c>
      <c r="X38" s="139">
        <f>SUM(X26:X37)</f>
        <v>5403827</v>
      </c>
      <c r="Y38" s="128">
        <f t="shared" si="27"/>
        <v>62046830</v>
      </c>
      <c r="Z38" s="137">
        <f t="shared" si="28"/>
        <v>6864127</v>
      </c>
      <c r="AA38" s="128">
        <f t="shared" si="29"/>
        <v>5188744</v>
      </c>
      <c r="AB38" s="138">
        <f>SUM(AB26:AB37)</f>
        <v>4937130</v>
      </c>
      <c r="AC38" s="139">
        <f>SUM(AC26:AC37)</f>
        <v>251614</v>
      </c>
      <c r="AD38" s="128">
        <f aca="true" t="shared" si="40" ref="AD38:AJ38">SUM(AD26:AD37)</f>
        <v>1675383</v>
      </c>
      <c r="AE38" s="137">
        <f t="shared" si="30"/>
        <v>38451701</v>
      </c>
      <c r="AF38" s="422">
        <f t="shared" si="40"/>
        <v>2465979</v>
      </c>
      <c r="AG38" s="128">
        <f t="shared" si="40"/>
        <v>35985722</v>
      </c>
      <c r="AH38" s="138">
        <f t="shared" si="40"/>
        <v>14151779</v>
      </c>
      <c r="AI38" s="139">
        <f t="shared" si="40"/>
        <v>2579223</v>
      </c>
      <c r="AJ38" s="128">
        <f t="shared" si="40"/>
        <v>91591.49799999999</v>
      </c>
      <c r="AK38" s="137">
        <v>120091</v>
      </c>
      <c r="AL38" s="150"/>
      <c r="AM38" s="150"/>
      <c r="AN38" s="234" t="s">
        <v>188</v>
      </c>
      <c r="AO38" s="423">
        <f t="shared" si="31"/>
        <v>1424491838.05</v>
      </c>
      <c r="AP38" s="137">
        <f>AQ38+AT38-2</f>
        <v>385100801</v>
      </c>
      <c r="AQ38" s="128">
        <f t="shared" si="33"/>
        <v>240794748</v>
      </c>
      <c r="AR38" s="138">
        <f>SUM(AR26:AR37)</f>
        <v>108251716</v>
      </c>
      <c r="AS38" s="139">
        <f>SUM(AS26:AS37)</f>
        <v>132543032</v>
      </c>
      <c r="AT38" s="128">
        <f>AU38+AV38</f>
        <v>144306055</v>
      </c>
      <c r="AU38" s="138">
        <f>SUM(AU26:AU37)</f>
        <v>91913654</v>
      </c>
      <c r="AV38" s="139">
        <f>SUM(AV26:AV37)</f>
        <v>52392401</v>
      </c>
      <c r="AW38" s="128">
        <f t="shared" si="34"/>
        <v>955563415</v>
      </c>
      <c r="AX38" s="137">
        <f t="shared" si="35"/>
        <v>88686358</v>
      </c>
      <c r="AY38" s="128">
        <f t="shared" si="36"/>
        <v>69394091</v>
      </c>
      <c r="AZ38" s="138">
        <f>SUM(AZ26:AZ37)</f>
        <v>26557152</v>
      </c>
      <c r="BA38" s="139">
        <f>SUM(BA26:BA37)</f>
        <v>42836939</v>
      </c>
      <c r="BB38" s="128">
        <f aca="true" t="shared" si="41" ref="BB38:BH38">SUM(BB26:BB37)</f>
        <v>19292267</v>
      </c>
      <c r="BC38" s="137">
        <f t="shared" si="37"/>
        <v>644929826</v>
      </c>
      <c r="BD38" s="422">
        <f t="shared" si="41"/>
        <v>12115154</v>
      </c>
      <c r="BE38" s="128">
        <f t="shared" si="41"/>
        <v>632814672</v>
      </c>
      <c r="BF38" s="138">
        <f t="shared" si="41"/>
        <v>157248574</v>
      </c>
      <c r="BG38" s="139">
        <f t="shared" si="41"/>
        <v>64698657</v>
      </c>
      <c r="BH38" s="139">
        <f t="shared" si="41"/>
        <v>79348556.04999998</v>
      </c>
      <c r="BI38" s="137">
        <v>4479066</v>
      </c>
      <c r="BJ38" s="150"/>
    </row>
    <row r="39" spans="15:62" ht="10.5">
      <c r="O39" s="150"/>
      <c r="P39" s="159" t="s">
        <v>189</v>
      </c>
      <c r="Q39" s="283">
        <v>84008421.021</v>
      </c>
      <c r="R39" s="150">
        <v>21750275</v>
      </c>
      <c r="S39" s="150">
        <v>8717512</v>
      </c>
      <c r="T39" s="150">
        <v>5455438</v>
      </c>
      <c r="U39" s="150">
        <v>3262074</v>
      </c>
      <c r="V39" s="150">
        <v>13032763</v>
      </c>
      <c r="W39" s="150">
        <v>7628935</v>
      </c>
      <c r="X39" s="150">
        <v>5403827</v>
      </c>
      <c r="Y39" s="150">
        <v>62046830</v>
      </c>
      <c r="Z39" s="150">
        <v>6864127</v>
      </c>
      <c r="AA39" s="150">
        <v>5188744</v>
      </c>
      <c r="AB39" s="150">
        <v>4937130</v>
      </c>
      <c r="AC39" s="150">
        <v>251614</v>
      </c>
      <c r="AD39" s="150">
        <v>1675383</v>
      </c>
      <c r="AE39" s="150">
        <v>38451701</v>
      </c>
      <c r="AF39" s="150">
        <v>2465979</v>
      </c>
      <c r="AG39" s="150">
        <v>35985722</v>
      </c>
      <c r="AH39" s="150">
        <v>14151779</v>
      </c>
      <c r="AI39" s="150">
        <v>2579223</v>
      </c>
      <c r="AJ39" s="283">
        <v>91588.958</v>
      </c>
      <c r="AK39" s="283">
        <v>120091</v>
      </c>
      <c r="AL39" s="150"/>
      <c r="AM39" s="150"/>
      <c r="AN39" s="159" t="s">
        <v>189</v>
      </c>
      <c r="AO39" s="150">
        <v>1424482086.955</v>
      </c>
      <c r="AP39" s="150">
        <v>385100801</v>
      </c>
      <c r="AQ39" s="150">
        <v>240794746</v>
      </c>
      <c r="AR39" s="150">
        <v>108251716</v>
      </c>
      <c r="AS39" s="150">
        <v>132543032</v>
      </c>
      <c r="AT39" s="150">
        <v>144306055</v>
      </c>
      <c r="AU39" s="150">
        <v>91913654</v>
      </c>
      <c r="AV39" s="150">
        <v>52392401</v>
      </c>
      <c r="AW39" s="150">
        <v>955563415</v>
      </c>
      <c r="AX39" s="150">
        <v>88686358</v>
      </c>
      <c r="AY39" s="150">
        <v>69394091</v>
      </c>
      <c r="AZ39" s="150">
        <v>26557152</v>
      </c>
      <c r="BA39" s="150">
        <v>42836939</v>
      </c>
      <c r="BB39" s="150">
        <v>19292267</v>
      </c>
      <c r="BC39" s="150">
        <v>644929826</v>
      </c>
      <c r="BD39" s="150">
        <v>12115154</v>
      </c>
      <c r="BE39" s="150">
        <v>632814672</v>
      </c>
      <c r="BF39" s="150">
        <v>157248574</v>
      </c>
      <c r="BG39" s="150">
        <v>64698657</v>
      </c>
      <c r="BH39" s="283">
        <v>79348197.649</v>
      </c>
      <c r="BI39" s="283">
        <v>4479066</v>
      </c>
      <c r="BJ39" s="150"/>
    </row>
    <row r="40" spans="15:62" ht="10.5"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</row>
    <row r="41" spans="15:62" ht="10.5"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</row>
    <row r="42" spans="15:62" ht="10.5">
      <c r="O42" s="150"/>
      <c r="P42" s="6" t="s">
        <v>50</v>
      </c>
      <c r="Q42" s="488">
        <f aca="true" t="shared" si="42" ref="Q42:Q53">Q5/Q26*100-100</f>
        <v>0.45755158896926673</v>
      </c>
      <c r="R42" s="488">
        <f aca="true" t="shared" si="43" ref="R42:AA53">R5/R26*100-100</f>
        <v>-0.3990107030398633</v>
      </c>
      <c r="S42" s="488">
        <f t="shared" si="43"/>
        <v>-0.08500381979190763</v>
      </c>
      <c r="T42" s="488">
        <f t="shared" si="43"/>
        <v>-0.639393632363749</v>
      </c>
      <c r="U42" s="488">
        <f t="shared" si="43"/>
        <v>0.8347072266190736</v>
      </c>
      <c r="V42" s="488">
        <f t="shared" si="43"/>
        <v>-0.6082814480433001</v>
      </c>
      <c r="W42" s="488">
        <f t="shared" si="43"/>
        <v>-2.1876868085681735</v>
      </c>
      <c r="X42" s="488">
        <f t="shared" si="43"/>
        <v>1.60238346204315</v>
      </c>
      <c r="Y42" s="488">
        <f t="shared" si="43"/>
        <v>0.7655416312638579</v>
      </c>
      <c r="Z42" s="488">
        <f t="shared" si="43"/>
        <v>-3.413992474532705</v>
      </c>
      <c r="AA42" s="488">
        <f t="shared" si="43"/>
        <v>-3.0378130343498952</v>
      </c>
      <c r="AB42" s="488">
        <f aca="true" t="shared" si="44" ref="AB42:AK53">AB5/AB26*100-100</f>
        <v>-3.304997470549978</v>
      </c>
      <c r="AC42" s="488">
        <f t="shared" si="44"/>
        <v>3.1155726620201847</v>
      </c>
      <c r="AD42" s="488">
        <f t="shared" si="44"/>
        <v>-4.789068928413187</v>
      </c>
      <c r="AE42" s="488">
        <f t="shared" si="44"/>
        <v>0.3059148407298551</v>
      </c>
      <c r="AF42" s="488">
        <f t="shared" si="44"/>
        <v>-5.58634644145333</v>
      </c>
      <c r="AG42" s="488">
        <f t="shared" si="44"/>
        <v>0.7646216032227215</v>
      </c>
      <c r="AH42" s="488">
        <f t="shared" si="44"/>
        <v>5.674848746758855</v>
      </c>
      <c r="AI42" s="488">
        <f t="shared" si="44"/>
        <v>-7.270956490226723</v>
      </c>
      <c r="AJ42" s="488">
        <f t="shared" si="44"/>
        <v>3.087935053694693</v>
      </c>
      <c r="AK42" s="488" t="e">
        <f t="shared" si="44"/>
        <v>#DIV/0!</v>
      </c>
      <c r="AL42" s="150"/>
      <c r="AM42" s="150"/>
      <c r="AO42" s="488">
        <f aca="true" t="shared" si="45" ref="AO42:AO53">AO5/AO26*100-100</f>
        <v>-0.6503897741578726</v>
      </c>
      <c r="AP42" s="488">
        <f aca="true" t="shared" si="46" ref="AP42:AY53">AP5/AP26*100-100</f>
        <v>-0.10051284774100111</v>
      </c>
      <c r="AQ42" s="488">
        <f t="shared" si="46"/>
        <v>0.07684145547335675</v>
      </c>
      <c r="AR42" s="488">
        <f t="shared" si="46"/>
        <v>-0.11624960330173906</v>
      </c>
      <c r="AS42" s="488">
        <f t="shared" si="46"/>
        <v>0.21760371020862124</v>
      </c>
      <c r="AT42" s="488">
        <f t="shared" si="46"/>
        <v>-0.4165629506674833</v>
      </c>
      <c r="AU42" s="488">
        <f t="shared" si="46"/>
        <v>-1.8381417504470505</v>
      </c>
      <c r="AV42" s="488">
        <f t="shared" si="46"/>
        <v>2.074614829591283</v>
      </c>
      <c r="AW42" s="488">
        <f t="shared" si="46"/>
        <v>-1.041077191294292</v>
      </c>
      <c r="AX42" s="488">
        <f t="shared" si="46"/>
        <v>2.7177411642913825</v>
      </c>
      <c r="AY42" s="488">
        <f t="shared" si="46"/>
        <v>4.555426159582069</v>
      </c>
      <c r="AZ42" s="488">
        <f aca="true" t="shared" si="47" ref="AZ42:BI53">AZ5/AZ26*100-100</f>
        <v>-1.0147266240769852</v>
      </c>
      <c r="BA42" s="488">
        <f t="shared" si="47"/>
        <v>8.845783200284245</v>
      </c>
      <c r="BB42" s="488">
        <f t="shared" si="47"/>
        <v>-4.177754178600765</v>
      </c>
      <c r="BC42" s="488">
        <f t="shared" si="47"/>
        <v>-1.2035028133723955</v>
      </c>
      <c r="BD42" s="488">
        <f t="shared" si="47"/>
        <v>-4.0634550353532575</v>
      </c>
      <c r="BE42" s="488">
        <f t="shared" si="47"/>
        <v>-1.141651626649761</v>
      </c>
      <c r="BF42" s="488">
        <f t="shared" si="47"/>
        <v>2.3914157041809574</v>
      </c>
      <c r="BG42" s="488">
        <f t="shared" si="47"/>
        <v>-11.970074462366114</v>
      </c>
      <c r="BH42" s="488">
        <f t="shared" si="47"/>
        <v>1.3841826834552364</v>
      </c>
      <c r="BI42" s="488" t="e">
        <f t="shared" si="47"/>
        <v>#DIV/0!</v>
      </c>
      <c r="BJ42" s="150"/>
    </row>
    <row r="43" spans="15:62" ht="10.5">
      <c r="O43" s="150"/>
      <c r="P43" s="6" t="s">
        <v>51</v>
      </c>
      <c r="Q43" s="488">
        <f t="shared" si="42"/>
        <v>3.0916678846613053</v>
      </c>
      <c r="R43" s="488">
        <f t="shared" si="43"/>
        <v>-0.678914688417322</v>
      </c>
      <c r="S43" s="488">
        <f t="shared" si="43"/>
        <v>-0.7545677287459966</v>
      </c>
      <c r="T43" s="488">
        <f t="shared" si="43"/>
        <v>-0.5907831459600601</v>
      </c>
      <c r="U43" s="488">
        <f t="shared" si="43"/>
        <v>-1.0523268437432165</v>
      </c>
      <c r="V43" s="488">
        <f t="shared" si="43"/>
        <v>-0.6278731673675821</v>
      </c>
      <c r="W43" s="488">
        <f t="shared" si="43"/>
        <v>-1.3183434970268166</v>
      </c>
      <c r="X43" s="488">
        <f t="shared" si="43"/>
        <v>0.42881477437897786</v>
      </c>
      <c r="Y43" s="488">
        <f t="shared" si="43"/>
        <v>4.512127324537275</v>
      </c>
      <c r="Z43" s="488">
        <f t="shared" si="43"/>
        <v>-1.1782605986332442</v>
      </c>
      <c r="AA43" s="488">
        <f t="shared" si="43"/>
        <v>-1.123710519431782</v>
      </c>
      <c r="AB43" s="488">
        <f t="shared" si="44"/>
        <v>-1.256424349368885</v>
      </c>
      <c r="AC43" s="488">
        <f t="shared" si="44"/>
        <v>1.097349417033115</v>
      </c>
      <c r="AD43" s="488">
        <f t="shared" si="44"/>
        <v>-1.3519091099992124</v>
      </c>
      <c r="AE43" s="488">
        <f t="shared" si="44"/>
        <v>4.706302581774466</v>
      </c>
      <c r="AF43" s="488">
        <f t="shared" si="44"/>
        <v>-1.0634386127883602</v>
      </c>
      <c r="AG43" s="488">
        <f t="shared" si="44"/>
        <v>5.103596424364227</v>
      </c>
      <c r="AH43" s="488">
        <f t="shared" si="44"/>
        <v>8.258903996476931</v>
      </c>
      <c r="AI43" s="488">
        <f t="shared" si="44"/>
        <v>-3.749102647373377</v>
      </c>
      <c r="AJ43" s="488">
        <f t="shared" si="44"/>
        <v>-1.190305830950976</v>
      </c>
      <c r="AK43" s="488" t="e">
        <f t="shared" si="44"/>
        <v>#DIV/0!</v>
      </c>
      <c r="AL43" s="150"/>
      <c r="AM43" s="150"/>
      <c r="AO43" s="488">
        <f t="shared" si="45"/>
        <v>-0.056973339011747726</v>
      </c>
      <c r="AP43" s="488">
        <f t="shared" si="46"/>
        <v>-0.027508946794085887</v>
      </c>
      <c r="AQ43" s="488">
        <f t="shared" si="46"/>
        <v>0.4208827412145695</v>
      </c>
      <c r="AR43" s="488">
        <f t="shared" si="46"/>
        <v>-0.19025072846385171</v>
      </c>
      <c r="AS43" s="488">
        <f t="shared" si="46"/>
        <v>0.9907221681841634</v>
      </c>
      <c r="AT43" s="488">
        <f t="shared" si="46"/>
        <v>-0.7442297361547645</v>
      </c>
      <c r="AU43" s="488">
        <f t="shared" si="46"/>
        <v>-1.1686940465373965</v>
      </c>
      <c r="AV43" s="488">
        <f t="shared" si="46"/>
        <v>0.05486603432041193</v>
      </c>
      <c r="AW43" s="488">
        <f t="shared" si="46"/>
        <v>0.17597579220642956</v>
      </c>
      <c r="AX43" s="488">
        <f t="shared" si="46"/>
        <v>-1.4161880672367886</v>
      </c>
      <c r="AY43" s="488">
        <f t="shared" si="46"/>
        <v>-1.2630588824683002</v>
      </c>
      <c r="AZ43" s="488">
        <f t="shared" si="47"/>
        <v>0.48862763375568363</v>
      </c>
      <c r="BA43" s="488">
        <f t="shared" si="47"/>
        <v>-2.25086981266611</v>
      </c>
      <c r="BB43" s="488">
        <f t="shared" si="47"/>
        <v>-2.008314698360536</v>
      </c>
      <c r="BC43" s="488">
        <f t="shared" si="47"/>
        <v>0.7268853803394251</v>
      </c>
      <c r="BD43" s="488">
        <f t="shared" si="47"/>
        <v>-2.2015224224150103</v>
      </c>
      <c r="BE43" s="488">
        <f t="shared" si="47"/>
        <v>0.7847973008175018</v>
      </c>
      <c r="BF43" s="488">
        <f t="shared" si="47"/>
        <v>2.890884260997126</v>
      </c>
      <c r="BG43" s="488">
        <f t="shared" si="47"/>
        <v>-9.574684978212815</v>
      </c>
      <c r="BH43" s="488">
        <f t="shared" si="47"/>
        <v>-3.1324627948012562</v>
      </c>
      <c r="BI43" s="488" t="e">
        <f t="shared" si="47"/>
        <v>#DIV/0!</v>
      </c>
      <c r="BJ43" s="150"/>
    </row>
    <row r="44" spans="15:62" ht="10.5">
      <c r="O44" s="150"/>
      <c r="P44" s="6" t="s">
        <v>52</v>
      </c>
      <c r="Q44" s="488">
        <f t="shared" si="42"/>
        <v>1.5408612857268196</v>
      </c>
      <c r="R44" s="488">
        <f t="shared" si="43"/>
        <v>-0.8364044531414976</v>
      </c>
      <c r="S44" s="488">
        <f t="shared" si="43"/>
        <v>-0.8795177644839356</v>
      </c>
      <c r="T44" s="488">
        <f t="shared" si="43"/>
        <v>-0.9461552760394056</v>
      </c>
      <c r="U44" s="488">
        <f t="shared" si="43"/>
        <v>-0.755202613925789</v>
      </c>
      <c r="V44" s="488">
        <f t="shared" si="43"/>
        <v>-0.808048470527055</v>
      </c>
      <c r="W44" s="488">
        <f t="shared" si="43"/>
        <v>-1.558689811198704</v>
      </c>
      <c r="X44" s="488">
        <f t="shared" si="43"/>
        <v>0.3786668370933768</v>
      </c>
      <c r="Y44" s="488">
        <f t="shared" si="43"/>
        <v>2.4087945344147386</v>
      </c>
      <c r="Z44" s="488">
        <f t="shared" si="43"/>
        <v>-2.3529545115971757</v>
      </c>
      <c r="AA44" s="488">
        <f t="shared" si="43"/>
        <v>-2.4958670754344183</v>
      </c>
      <c r="AB44" s="488">
        <f t="shared" si="44"/>
        <v>-2.7085592987585017</v>
      </c>
      <c r="AC44" s="488">
        <f t="shared" si="44"/>
        <v>1.4041227433741597</v>
      </c>
      <c r="AD44" s="488">
        <f t="shared" si="44"/>
        <v>-1.9593300708228156</v>
      </c>
      <c r="AE44" s="488">
        <f t="shared" si="44"/>
        <v>2.5207084875749075</v>
      </c>
      <c r="AF44" s="488">
        <f t="shared" si="44"/>
        <v>-5.633874213645186</v>
      </c>
      <c r="AG44" s="488">
        <f t="shared" si="44"/>
        <v>3.068756066325946</v>
      </c>
      <c r="AH44" s="488">
        <f t="shared" si="44"/>
        <v>5.442971533424256</v>
      </c>
      <c r="AI44" s="488">
        <f t="shared" si="44"/>
        <v>-1.3229056424529801</v>
      </c>
      <c r="AJ44" s="488">
        <f t="shared" si="44"/>
        <v>0.9521267091676435</v>
      </c>
      <c r="AK44" s="488" t="e">
        <f t="shared" si="44"/>
        <v>#DIV/0!</v>
      </c>
      <c r="AL44" s="150"/>
      <c r="AM44" s="150"/>
      <c r="AO44" s="488">
        <f t="shared" si="45"/>
        <v>-0.035120970144646435</v>
      </c>
      <c r="AP44" s="488">
        <f t="shared" si="46"/>
        <v>-0.5333314293838498</v>
      </c>
      <c r="AQ44" s="488">
        <f t="shared" si="46"/>
        <v>-0.2912815260685875</v>
      </c>
      <c r="AR44" s="488">
        <f t="shared" si="46"/>
        <v>-0.6431666925431045</v>
      </c>
      <c r="AS44" s="488">
        <f t="shared" si="46"/>
        <v>0.042716496183103914</v>
      </c>
      <c r="AT44" s="488">
        <f t="shared" si="46"/>
        <v>-0.9147687646299829</v>
      </c>
      <c r="AU44" s="488">
        <f t="shared" si="46"/>
        <v>-1.515186700534585</v>
      </c>
      <c r="AV44" s="488">
        <f t="shared" si="46"/>
        <v>0.29330570315575244</v>
      </c>
      <c r="AW44" s="488">
        <f t="shared" si="46"/>
        <v>0.21529825535876057</v>
      </c>
      <c r="AX44" s="488">
        <f t="shared" si="46"/>
        <v>-2.8147517839652494</v>
      </c>
      <c r="AY44" s="488">
        <f t="shared" si="46"/>
        <v>-1.4845040183437277</v>
      </c>
      <c r="AZ44" s="488">
        <f t="shared" si="47"/>
        <v>0.46239426484970636</v>
      </c>
      <c r="BA44" s="488">
        <f t="shared" si="47"/>
        <v>-2.5560228897865045</v>
      </c>
      <c r="BB44" s="488">
        <f t="shared" si="47"/>
        <v>-7.389981242846389</v>
      </c>
      <c r="BC44" s="488">
        <f t="shared" si="47"/>
        <v>0.7764550640070098</v>
      </c>
      <c r="BD44" s="488">
        <f t="shared" si="47"/>
        <v>-3.706718600250653</v>
      </c>
      <c r="BE44" s="488">
        <f t="shared" si="47"/>
        <v>0.8629984414956908</v>
      </c>
      <c r="BF44" s="488">
        <f t="shared" si="47"/>
        <v>2.555611182815994</v>
      </c>
      <c r="BG44" s="488">
        <f t="shared" si="47"/>
        <v>-5.858346770458539</v>
      </c>
      <c r="BH44" s="488">
        <f t="shared" si="47"/>
        <v>-0.6029481676992816</v>
      </c>
      <c r="BI44" s="488" t="e">
        <f t="shared" si="47"/>
        <v>#DIV/0!</v>
      </c>
      <c r="BJ44" s="150"/>
    </row>
    <row r="45" spans="15:62" ht="10.5">
      <c r="O45" s="150"/>
      <c r="P45" s="6" t="s">
        <v>53</v>
      </c>
      <c r="Q45" s="488">
        <f t="shared" si="42"/>
        <v>1.3242946316060795</v>
      </c>
      <c r="R45" s="488">
        <f t="shared" si="43"/>
        <v>-1.33142434899041</v>
      </c>
      <c r="S45" s="488">
        <f t="shared" si="43"/>
        <v>-1.0977995570589343</v>
      </c>
      <c r="T45" s="488">
        <f t="shared" si="43"/>
        <v>-0.8051928316345993</v>
      </c>
      <c r="U45" s="488">
        <f t="shared" si="43"/>
        <v>-1.5747808577424394</v>
      </c>
      <c r="V45" s="488">
        <f t="shared" si="43"/>
        <v>-1.4892727272727342</v>
      </c>
      <c r="W45" s="488">
        <f t="shared" si="43"/>
        <v>-1.351927918169551</v>
      </c>
      <c r="X45" s="488">
        <f t="shared" si="43"/>
        <v>-1.676946344170915</v>
      </c>
      <c r="Y45" s="488">
        <f t="shared" si="43"/>
        <v>2.241241607721477</v>
      </c>
      <c r="Z45" s="488">
        <f t="shared" si="43"/>
        <v>-7.570594286093495</v>
      </c>
      <c r="AA45" s="488">
        <f t="shared" si="43"/>
        <v>-4.675365473292132</v>
      </c>
      <c r="AB45" s="488">
        <f t="shared" si="44"/>
        <v>-4.908545231118254</v>
      </c>
      <c r="AC45" s="488">
        <f t="shared" si="44"/>
        <v>-0.28895310068904223</v>
      </c>
      <c r="AD45" s="488">
        <f t="shared" si="44"/>
        <v>-15.784447910366993</v>
      </c>
      <c r="AE45" s="488">
        <f t="shared" si="44"/>
        <v>3.9198583940976306</v>
      </c>
      <c r="AF45" s="488">
        <f t="shared" si="44"/>
        <v>-2.8505276659153225</v>
      </c>
      <c r="AG45" s="488">
        <f t="shared" si="44"/>
        <v>4.382470119521912</v>
      </c>
      <c r="AH45" s="488">
        <f t="shared" si="44"/>
        <v>3.478072490112922</v>
      </c>
      <c r="AI45" s="488">
        <f t="shared" si="44"/>
        <v>-2.929378605949765</v>
      </c>
      <c r="AJ45" s="488">
        <f t="shared" si="44"/>
        <v>-2.561891390233015</v>
      </c>
      <c r="AK45" s="488" t="e">
        <f t="shared" si="44"/>
        <v>#DIV/0!</v>
      </c>
      <c r="AL45" s="150"/>
      <c r="AM45" s="150"/>
      <c r="AO45" s="488">
        <f t="shared" si="45"/>
        <v>-0.7668423042290584</v>
      </c>
      <c r="AP45" s="488">
        <f t="shared" si="46"/>
        <v>-1.0791363112429622</v>
      </c>
      <c r="AQ45" s="488">
        <f t="shared" si="46"/>
        <v>-1.0329131361987578</v>
      </c>
      <c r="AR45" s="488">
        <f t="shared" si="46"/>
        <v>-0.27452493056652827</v>
      </c>
      <c r="AS45" s="488">
        <f t="shared" si="46"/>
        <v>-1.619412388757567</v>
      </c>
      <c r="AT45" s="488">
        <f t="shared" si="46"/>
        <v>-1.1596433473318228</v>
      </c>
      <c r="AU45" s="488">
        <f t="shared" si="46"/>
        <v>-1.1054442188128064</v>
      </c>
      <c r="AV45" s="488">
        <f t="shared" si="46"/>
        <v>-1.2531627440683621</v>
      </c>
      <c r="AW45" s="488">
        <f t="shared" si="46"/>
        <v>-0.32201804023384284</v>
      </c>
      <c r="AX45" s="488">
        <f t="shared" si="46"/>
        <v>-4.55393493685456</v>
      </c>
      <c r="AY45" s="488">
        <f t="shared" si="46"/>
        <v>-2.0639153929821674</v>
      </c>
      <c r="AZ45" s="488">
        <f t="shared" si="47"/>
        <v>-0.9976440218712526</v>
      </c>
      <c r="BA45" s="488">
        <f t="shared" si="47"/>
        <v>-2.67747522177487</v>
      </c>
      <c r="BB45" s="488">
        <f t="shared" si="47"/>
        <v>-13.112355229709678</v>
      </c>
      <c r="BC45" s="488">
        <f t="shared" si="47"/>
        <v>0.4730732576180259</v>
      </c>
      <c r="BD45" s="488">
        <f t="shared" si="47"/>
        <v>-2.8107968723038397</v>
      </c>
      <c r="BE45" s="488">
        <f t="shared" si="47"/>
        <v>0.5347774079295959</v>
      </c>
      <c r="BF45" s="488">
        <f t="shared" si="47"/>
        <v>2.21571380967049</v>
      </c>
      <c r="BG45" s="488">
        <f t="shared" si="47"/>
        <v>-8.078213405210164</v>
      </c>
      <c r="BH45" s="488">
        <f t="shared" si="47"/>
        <v>-4.572270692656204</v>
      </c>
      <c r="BI45" s="488" t="e">
        <f t="shared" si="47"/>
        <v>#DIV/0!</v>
      </c>
      <c r="BJ45" s="150"/>
    </row>
    <row r="46" spans="15:62" ht="10.5">
      <c r="O46" s="150"/>
      <c r="P46" s="6" t="s">
        <v>54</v>
      </c>
      <c r="Q46" s="488">
        <f t="shared" si="42"/>
        <v>1.3729492665379865</v>
      </c>
      <c r="R46" s="488">
        <f t="shared" si="43"/>
        <v>0.07654072067941797</v>
      </c>
      <c r="S46" s="488">
        <f t="shared" si="43"/>
        <v>0.523367931286316</v>
      </c>
      <c r="T46" s="488">
        <f t="shared" si="43"/>
        <v>-0.0808087319475419</v>
      </c>
      <c r="U46" s="488">
        <f t="shared" si="43"/>
        <v>1.4547222577119072</v>
      </c>
      <c r="V46" s="488">
        <f t="shared" si="43"/>
        <v>-0.22662782159692085</v>
      </c>
      <c r="W46" s="488">
        <f t="shared" si="43"/>
        <v>-1.4287252993081694</v>
      </c>
      <c r="X46" s="488">
        <f t="shared" si="43"/>
        <v>1.3785398230088362</v>
      </c>
      <c r="Y46" s="488">
        <f t="shared" si="43"/>
        <v>1.8304685613663025</v>
      </c>
      <c r="Z46" s="488">
        <f t="shared" si="43"/>
        <v>-1.7942157781063486</v>
      </c>
      <c r="AA46" s="488">
        <f t="shared" si="43"/>
        <v>-1.2872074010223713</v>
      </c>
      <c r="AB46" s="488">
        <f t="shared" si="44"/>
        <v>-1.2994691423252078</v>
      </c>
      <c r="AC46" s="488">
        <f t="shared" si="44"/>
        <v>-1.030873612791254</v>
      </c>
      <c r="AD46" s="488">
        <f t="shared" si="44"/>
        <v>-3.9009108776550647</v>
      </c>
      <c r="AE46" s="488">
        <f t="shared" si="44"/>
        <v>1.6742136848176443</v>
      </c>
      <c r="AF46" s="488">
        <f t="shared" si="44"/>
        <v>4.982972804451052</v>
      </c>
      <c r="AG46" s="488">
        <f t="shared" si="44"/>
        <v>1.4449962419730724</v>
      </c>
      <c r="AH46" s="488">
        <f t="shared" si="44"/>
        <v>5.129364640860885</v>
      </c>
      <c r="AI46" s="488">
        <f t="shared" si="44"/>
        <v>-6.009622583124539</v>
      </c>
      <c r="AJ46" s="488">
        <f t="shared" si="44"/>
        <v>-3.8934384985225137</v>
      </c>
      <c r="AK46" s="488" t="e">
        <f t="shared" si="44"/>
        <v>#DIV/0!</v>
      </c>
      <c r="AL46" s="150"/>
      <c r="AM46" s="150"/>
      <c r="AO46" s="488">
        <f t="shared" si="45"/>
        <v>-0.570208737414319</v>
      </c>
      <c r="AP46" s="488">
        <f t="shared" si="46"/>
        <v>0.3581998654990741</v>
      </c>
      <c r="AQ46" s="488">
        <f t="shared" si="46"/>
        <v>0.7828690904623699</v>
      </c>
      <c r="AR46" s="488">
        <f t="shared" si="46"/>
        <v>0.16551461476501572</v>
      </c>
      <c r="AS46" s="488">
        <f t="shared" si="46"/>
        <v>1.2267152632156524</v>
      </c>
      <c r="AT46" s="488">
        <f t="shared" si="46"/>
        <v>-0.3813989313706969</v>
      </c>
      <c r="AU46" s="488">
        <f t="shared" si="46"/>
        <v>-1.3501896095543628</v>
      </c>
      <c r="AV46" s="488">
        <f t="shared" si="46"/>
        <v>1.1660388824208638</v>
      </c>
      <c r="AW46" s="488">
        <f t="shared" si="46"/>
        <v>-0.4811904565938221</v>
      </c>
      <c r="AX46" s="488">
        <f t="shared" si="46"/>
        <v>-2.7189219457494858</v>
      </c>
      <c r="AY46" s="488">
        <f t="shared" si="46"/>
        <v>-1.737614846039122</v>
      </c>
      <c r="AZ46" s="488">
        <f t="shared" si="47"/>
        <v>1.8726926045227401</v>
      </c>
      <c r="BA46" s="488">
        <f t="shared" si="47"/>
        <v>-4.067582310668044</v>
      </c>
      <c r="BB46" s="488">
        <f t="shared" si="47"/>
        <v>-7.181503879100376</v>
      </c>
      <c r="BC46" s="488">
        <f t="shared" si="47"/>
        <v>-0.09704574798816168</v>
      </c>
      <c r="BD46" s="488">
        <f t="shared" si="47"/>
        <v>4.695392660319399</v>
      </c>
      <c r="BE46" s="488">
        <f t="shared" si="47"/>
        <v>-0.1864831595330685</v>
      </c>
      <c r="BF46" s="488">
        <f t="shared" si="47"/>
        <v>2.4097505234871477</v>
      </c>
      <c r="BG46" s="488">
        <f t="shared" si="47"/>
        <v>-9.110958034246906</v>
      </c>
      <c r="BH46" s="488">
        <f t="shared" si="47"/>
        <v>-4.942996916443164</v>
      </c>
      <c r="BI46" s="488" t="e">
        <f t="shared" si="47"/>
        <v>#DIV/0!</v>
      </c>
      <c r="BJ46" s="150"/>
    </row>
    <row r="47" spans="15:62" ht="10.5">
      <c r="O47" s="150"/>
      <c r="P47" s="6" t="s">
        <v>55</v>
      </c>
      <c r="Q47" s="488">
        <f t="shared" si="42"/>
        <v>0.0559269387086232</v>
      </c>
      <c r="R47" s="488">
        <f t="shared" si="43"/>
        <v>-0.9764001180190007</v>
      </c>
      <c r="S47" s="488">
        <f t="shared" si="43"/>
        <v>-1.056690663448606</v>
      </c>
      <c r="T47" s="488">
        <f t="shared" si="43"/>
        <v>-1.4672822592824275</v>
      </c>
      <c r="U47" s="488">
        <f t="shared" si="43"/>
        <v>-0.3173801569419652</v>
      </c>
      <c r="V47" s="488">
        <f t="shared" si="43"/>
        <v>-0.9220604511919106</v>
      </c>
      <c r="W47" s="488">
        <f t="shared" si="43"/>
        <v>-1.762514493591567</v>
      </c>
      <c r="X47" s="488">
        <f t="shared" si="43"/>
        <v>0.34282892648458585</v>
      </c>
      <c r="Y47" s="488">
        <f t="shared" si="43"/>
        <v>0.3974859452562356</v>
      </c>
      <c r="Z47" s="488">
        <f t="shared" si="43"/>
        <v>-3.262495438057826</v>
      </c>
      <c r="AA47" s="488">
        <f t="shared" si="43"/>
        <v>-3.6773269948820513</v>
      </c>
      <c r="AB47" s="488">
        <f t="shared" si="44"/>
        <v>-4.0543710855022255</v>
      </c>
      <c r="AC47" s="488">
        <f t="shared" si="44"/>
        <v>4.207135777998033</v>
      </c>
      <c r="AD47" s="488">
        <f t="shared" si="44"/>
        <v>-1.9658711757054732</v>
      </c>
      <c r="AE47" s="488">
        <f t="shared" si="44"/>
        <v>0.2080056542381925</v>
      </c>
      <c r="AF47" s="488">
        <f t="shared" si="44"/>
        <v>-4.0465271118310255</v>
      </c>
      <c r="AG47" s="488">
        <f t="shared" si="44"/>
        <v>0.4864131097437081</v>
      </c>
      <c r="AH47" s="488">
        <f t="shared" si="44"/>
        <v>3.7888411261174326</v>
      </c>
      <c r="AI47" s="488">
        <f t="shared" si="44"/>
        <v>-5.759020211590084</v>
      </c>
      <c r="AJ47" s="488">
        <f t="shared" si="44"/>
        <v>7.048849551565013</v>
      </c>
      <c r="AK47" s="488" t="e">
        <f t="shared" si="44"/>
        <v>#DIV/0!</v>
      </c>
      <c r="AL47" s="150"/>
      <c r="AM47" s="150"/>
      <c r="AO47" s="488">
        <f t="shared" si="45"/>
        <v>-0.8990730399569031</v>
      </c>
      <c r="AP47" s="488">
        <f t="shared" si="46"/>
        <v>-1.1127003947209033</v>
      </c>
      <c r="AQ47" s="488">
        <f t="shared" si="46"/>
        <v>-1.2954277697683523</v>
      </c>
      <c r="AR47" s="488">
        <f t="shared" si="46"/>
        <v>-1.2713377260314473</v>
      </c>
      <c r="AS47" s="488">
        <f t="shared" si="46"/>
        <v>-1.3186658999713217</v>
      </c>
      <c r="AT47" s="488">
        <f t="shared" si="46"/>
        <v>-0.8222519630569849</v>
      </c>
      <c r="AU47" s="488">
        <f t="shared" si="46"/>
        <v>-1.5257631925957327</v>
      </c>
      <c r="AV47" s="488">
        <f t="shared" si="46"/>
        <v>0.49472873975166465</v>
      </c>
      <c r="AW47" s="488">
        <f t="shared" si="46"/>
        <v>-1.3957731314767443</v>
      </c>
      <c r="AX47" s="488">
        <f t="shared" si="46"/>
        <v>0.065877872704732</v>
      </c>
      <c r="AY47" s="488">
        <f t="shared" si="46"/>
        <v>0.7521590807555185</v>
      </c>
      <c r="AZ47" s="488">
        <f t="shared" si="47"/>
        <v>-0.44211893315069517</v>
      </c>
      <c r="BA47" s="488">
        <f t="shared" si="47"/>
        <v>1.5112279242763549</v>
      </c>
      <c r="BB47" s="488">
        <f t="shared" si="47"/>
        <v>-2.4061770850712634</v>
      </c>
      <c r="BC47" s="488">
        <f t="shared" si="47"/>
        <v>-2.0707954045289085</v>
      </c>
      <c r="BD47" s="488">
        <f t="shared" si="47"/>
        <v>-5.411187773736657</v>
      </c>
      <c r="BE47" s="488">
        <f t="shared" si="47"/>
        <v>-2.0088819885131954</v>
      </c>
      <c r="BF47" s="488">
        <f t="shared" si="47"/>
        <v>3.710190940617423</v>
      </c>
      <c r="BG47" s="488">
        <f t="shared" si="47"/>
        <v>-9.310615742727663</v>
      </c>
      <c r="BH47" s="488">
        <f t="shared" si="47"/>
        <v>6.20431510006911</v>
      </c>
      <c r="BI47" s="488" t="e">
        <f t="shared" si="47"/>
        <v>#DIV/0!</v>
      </c>
      <c r="BJ47" s="150"/>
    </row>
    <row r="48" spans="15:62" ht="10.5">
      <c r="O48" s="150"/>
      <c r="P48" s="6" t="s">
        <v>56</v>
      </c>
      <c r="Q48" s="488">
        <f t="shared" si="42"/>
        <v>1.357986559040981</v>
      </c>
      <c r="R48" s="488">
        <f t="shared" si="43"/>
        <v>-0.4184671074905282</v>
      </c>
      <c r="S48" s="488">
        <f t="shared" si="43"/>
        <v>-0.18642967259285115</v>
      </c>
      <c r="T48" s="488">
        <f t="shared" si="43"/>
        <v>0.10439044108608186</v>
      </c>
      <c r="U48" s="488">
        <f t="shared" si="43"/>
        <v>-0.6973679393784096</v>
      </c>
      <c r="V48" s="488">
        <f t="shared" si="43"/>
        <v>-0.5749689677963659</v>
      </c>
      <c r="W48" s="488">
        <f t="shared" si="43"/>
        <v>-1.055815760149855</v>
      </c>
      <c r="X48" s="488">
        <f t="shared" si="43"/>
        <v>0.13806197448631963</v>
      </c>
      <c r="Y48" s="488">
        <f t="shared" si="43"/>
        <v>1.9939978526882953</v>
      </c>
      <c r="Z48" s="488">
        <f t="shared" si="43"/>
        <v>-0.682477141679044</v>
      </c>
      <c r="AA48" s="488">
        <f t="shared" si="43"/>
        <v>-1.774650400339013</v>
      </c>
      <c r="AB48" s="488">
        <f t="shared" si="44"/>
        <v>-1.8005414947730003</v>
      </c>
      <c r="AC48" s="488">
        <f t="shared" si="44"/>
        <v>-1.3867103949807529</v>
      </c>
      <c r="AD48" s="488">
        <f t="shared" si="44"/>
        <v>2.3257528288673512</v>
      </c>
      <c r="AE48" s="488">
        <f t="shared" si="44"/>
        <v>1.642965263814915</v>
      </c>
      <c r="AF48" s="488">
        <f t="shared" si="44"/>
        <v>-3.5757309114525953</v>
      </c>
      <c r="AG48" s="488">
        <f t="shared" si="44"/>
        <v>1.9741515216884693</v>
      </c>
      <c r="AH48" s="488">
        <f t="shared" si="44"/>
        <v>4.652493257686061</v>
      </c>
      <c r="AI48" s="488">
        <f t="shared" si="44"/>
        <v>0.4153469442331925</v>
      </c>
      <c r="AJ48" s="488">
        <f t="shared" si="44"/>
        <v>0.7902681070236071</v>
      </c>
      <c r="AK48" s="488" t="e">
        <f t="shared" si="44"/>
        <v>#DIV/0!</v>
      </c>
      <c r="AL48" s="150"/>
      <c r="AM48" s="150"/>
      <c r="AO48" s="488">
        <f t="shared" si="45"/>
        <v>-0.5180022111892413</v>
      </c>
      <c r="AP48" s="488">
        <f t="shared" si="46"/>
        <v>0.15878136458631786</v>
      </c>
      <c r="AQ48" s="488">
        <f t="shared" si="46"/>
        <v>0.5882423592113781</v>
      </c>
      <c r="AR48" s="488">
        <f t="shared" si="46"/>
        <v>0.6478138899954615</v>
      </c>
      <c r="AS48" s="488">
        <f t="shared" si="46"/>
        <v>0.5431086649855104</v>
      </c>
      <c r="AT48" s="488">
        <f t="shared" si="46"/>
        <v>-0.6047735639437661</v>
      </c>
      <c r="AU48" s="488">
        <f t="shared" si="46"/>
        <v>-0.9617528805685538</v>
      </c>
      <c r="AV48" s="488">
        <f t="shared" si="46"/>
        <v>0.054482798496138685</v>
      </c>
      <c r="AW48" s="488">
        <f t="shared" si="46"/>
        <v>-0.8475364825009706</v>
      </c>
      <c r="AX48" s="488">
        <f t="shared" si="46"/>
        <v>-1.7817464597747232</v>
      </c>
      <c r="AY48" s="488">
        <f t="shared" si="46"/>
        <v>-2.2085996403879307</v>
      </c>
      <c r="AZ48" s="488">
        <f t="shared" si="47"/>
        <v>2.4333722115651852</v>
      </c>
      <c r="BA48" s="488">
        <f t="shared" si="47"/>
        <v>-4.325068057868222</v>
      </c>
      <c r="BB48" s="488">
        <f t="shared" si="47"/>
        <v>-0.031105386621987918</v>
      </c>
      <c r="BC48" s="488">
        <f t="shared" si="47"/>
        <v>-0.8074738179753069</v>
      </c>
      <c r="BD48" s="488">
        <f t="shared" si="47"/>
        <v>-4.9079246463772535</v>
      </c>
      <c r="BE48" s="488">
        <f t="shared" si="47"/>
        <v>-0.7333661597471917</v>
      </c>
      <c r="BF48" s="488">
        <f t="shared" si="47"/>
        <v>1.2749789686552475</v>
      </c>
      <c r="BG48" s="488">
        <f t="shared" si="47"/>
        <v>-4.658138096766081</v>
      </c>
      <c r="BH48" s="488">
        <f t="shared" si="47"/>
        <v>0.009958418146709391</v>
      </c>
      <c r="BI48" s="488" t="e">
        <f t="shared" si="47"/>
        <v>#DIV/0!</v>
      </c>
      <c r="BJ48" s="150"/>
    </row>
    <row r="49" spans="15:62" ht="10.5">
      <c r="O49" s="150"/>
      <c r="P49" s="6" t="s">
        <v>57</v>
      </c>
      <c r="Q49" s="488">
        <f t="shared" si="42"/>
        <v>-0.7819272024153463</v>
      </c>
      <c r="R49" s="488">
        <f t="shared" si="43"/>
        <v>-0.3203117332134582</v>
      </c>
      <c r="S49" s="488">
        <f t="shared" si="43"/>
        <v>-0.34393703704712664</v>
      </c>
      <c r="T49" s="488">
        <f t="shared" si="43"/>
        <v>-0.4586998350742135</v>
      </c>
      <c r="U49" s="488">
        <f t="shared" si="43"/>
        <v>-0.14488867037640318</v>
      </c>
      <c r="V49" s="488">
        <f t="shared" si="43"/>
        <v>-0.30468605714439434</v>
      </c>
      <c r="W49" s="488">
        <f t="shared" si="43"/>
        <v>-1.2599112468187172</v>
      </c>
      <c r="X49" s="488">
        <f t="shared" si="43"/>
        <v>1.132440738083318</v>
      </c>
      <c r="Y49" s="488">
        <f t="shared" si="43"/>
        <v>-0.954193655193265</v>
      </c>
      <c r="Z49" s="488">
        <f t="shared" si="43"/>
        <v>-3.9660719213347733</v>
      </c>
      <c r="AA49" s="488">
        <f t="shared" si="43"/>
        <v>-1.417823407109637</v>
      </c>
      <c r="AB49" s="488">
        <f t="shared" si="44"/>
        <v>-1.600703820916678</v>
      </c>
      <c r="AC49" s="488">
        <f t="shared" si="44"/>
        <v>1.6193839035675097</v>
      </c>
      <c r="AD49" s="488">
        <f t="shared" si="44"/>
        <v>-10.854799915255299</v>
      </c>
      <c r="AE49" s="488">
        <f t="shared" si="44"/>
        <v>-2.904382203790618</v>
      </c>
      <c r="AF49" s="488">
        <f t="shared" si="44"/>
        <v>-2.1258640902292143</v>
      </c>
      <c r="AG49" s="488">
        <f t="shared" si="44"/>
        <v>-2.9556797863733095</v>
      </c>
      <c r="AH49" s="488">
        <f t="shared" si="44"/>
        <v>6.357022277217197</v>
      </c>
      <c r="AI49" s="488">
        <f t="shared" si="44"/>
        <v>-3.548948153056159</v>
      </c>
      <c r="AJ49" s="488">
        <f t="shared" si="44"/>
        <v>4.726509728411926</v>
      </c>
      <c r="AK49" s="488" t="e">
        <f t="shared" si="44"/>
        <v>#DIV/0!</v>
      </c>
      <c r="AL49" s="150"/>
      <c r="AM49" s="150"/>
      <c r="AO49" s="488">
        <f t="shared" si="45"/>
        <v>-0.68853510817965</v>
      </c>
      <c r="AP49" s="488">
        <f t="shared" si="46"/>
        <v>-0.009987571022733732</v>
      </c>
      <c r="AQ49" s="488">
        <f t="shared" si="46"/>
        <v>0.28940876479970257</v>
      </c>
      <c r="AR49" s="488">
        <f t="shared" si="46"/>
        <v>-0.20963876358138123</v>
      </c>
      <c r="AS49" s="488">
        <f t="shared" si="46"/>
        <v>0.7128231238942249</v>
      </c>
      <c r="AT49" s="488">
        <f t="shared" si="46"/>
        <v>-0.4959552008713075</v>
      </c>
      <c r="AU49" s="488">
        <f t="shared" si="46"/>
        <v>-1.1684072128222738</v>
      </c>
      <c r="AV49" s="488">
        <f t="shared" si="46"/>
        <v>0.7466482357707349</v>
      </c>
      <c r="AW49" s="488">
        <f t="shared" si="46"/>
        <v>-1.3503003521586123</v>
      </c>
      <c r="AX49" s="488">
        <f t="shared" si="46"/>
        <v>-1.6372144738237182</v>
      </c>
      <c r="AY49" s="488">
        <f t="shared" si="46"/>
        <v>1.8117590129647567</v>
      </c>
      <c r="AZ49" s="488">
        <f t="shared" si="47"/>
        <v>3.4512060234481083</v>
      </c>
      <c r="BA49" s="488">
        <f t="shared" si="47"/>
        <v>1.0350702645449417</v>
      </c>
      <c r="BB49" s="488">
        <f t="shared" si="47"/>
        <v>-14.302637949280424</v>
      </c>
      <c r="BC49" s="488">
        <f t="shared" si="47"/>
        <v>-1.9061162021408222</v>
      </c>
      <c r="BD49" s="488">
        <f t="shared" si="47"/>
        <v>1.758608056717975</v>
      </c>
      <c r="BE49" s="488">
        <f t="shared" si="47"/>
        <v>-1.9728130912466213</v>
      </c>
      <c r="BF49" s="488">
        <f t="shared" si="47"/>
        <v>4.414359381609543</v>
      </c>
      <c r="BG49" s="488">
        <f t="shared" si="47"/>
        <v>-8.91703091106912</v>
      </c>
      <c r="BH49" s="488">
        <f t="shared" si="47"/>
        <v>4.137009994732409</v>
      </c>
      <c r="BI49" s="488" t="e">
        <f t="shared" si="47"/>
        <v>#DIV/0!</v>
      </c>
      <c r="BJ49" s="150"/>
    </row>
    <row r="50" spans="15:62" ht="10.5">
      <c r="O50" s="150"/>
      <c r="P50" s="6" t="s">
        <v>58</v>
      </c>
      <c r="Q50" s="488">
        <f t="shared" si="42"/>
        <v>1.1711908704338043</v>
      </c>
      <c r="R50" s="488">
        <f t="shared" si="43"/>
        <v>0.8677646389779312</v>
      </c>
      <c r="S50" s="488">
        <f t="shared" si="43"/>
        <v>0.799365205771025</v>
      </c>
      <c r="T50" s="488">
        <f t="shared" si="43"/>
        <v>-0.17798773650180522</v>
      </c>
      <c r="U50" s="488">
        <f t="shared" si="43"/>
        <v>2.266977244221465</v>
      </c>
      <c r="V50" s="488">
        <f t="shared" si="43"/>
        <v>0.9133148981685082</v>
      </c>
      <c r="W50" s="488">
        <f t="shared" si="43"/>
        <v>-1.1826170782300238</v>
      </c>
      <c r="X50" s="488">
        <f t="shared" si="43"/>
        <v>3.530400431574577</v>
      </c>
      <c r="Y50" s="488">
        <f t="shared" si="43"/>
        <v>1.2576173930443133</v>
      </c>
      <c r="Z50" s="488">
        <f t="shared" si="43"/>
        <v>-0.15918800770965902</v>
      </c>
      <c r="AA50" s="488">
        <f t="shared" si="43"/>
        <v>-0.2798577835750251</v>
      </c>
      <c r="AB50" s="488">
        <f t="shared" si="44"/>
        <v>-0.5504396943631207</v>
      </c>
      <c r="AC50" s="488">
        <f t="shared" si="44"/>
        <v>6.659749691978462</v>
      </c>
      <c r="AD50" s="488">
        <f t="shared" si="44"/>
        <v>0.2772545636981363</v>
      </c>
      <c r="AE50" s="488">
        <f t="shared" si="44"/>
        <v>1.139504498834924</v>
      </c>
      <c r="AF50" s="488">
        <f t="shared" si="44"/>
        <v>-0.06263772413265656</v>
      </c>
      <c r="AG50" s="488">
        <f t="shared" si="44"/>
        <v>1.224493827034621</v>
      </c>
      <c r="AH50" s="488">
        <f t="shared" si="44"/>
        <v>2.3565316395405205</v>
      </c>
      <c r="AI50" s="488">
        <f t="shared" si="44"/>
        <v>0.25143678160918626</v>
      </c>
      <c r="AJ50" s="488">
        <f t="shared" si="44"/>
        <v>11.942418078565353</v>
      </c>
      <c r="AK50" s="488" t="e">
        <f t="shared" si="44"/>
        <v>#DIV/0!</v>
      </c>
      <c r="AL50" s="150"/>
      <c r="AM50" s="150"/>
      <c r="AO50" s="488">
        <f t="shared" si="45"/>
        <v>1.4697958763758976</v>
      </c>
      <c r="AP50" s="488">
        <f t="shared" si="46"/>
        <v>1.8271685342988064</v>
      </c>
      <c r="AQ50" s="488">
        <f t="shared" si="46"/>
        <v>2.4253265031861133</v>
      </c>
      <c r="AR50" s="488">
        <f t="shared" si="46"/>
        <v>0.4957440473909287</v>
      </c>
      <c r="AS50" s="488">
        <f t="shared" si="46"/>
        <v>3.9156603012757643</v>
      </c>
      <c r="AT50" s="488">
        <f t="shared" si="46"/>
        <v>0.8370512107814818</v>
      </c>
      <c r="AU50" s="488">
        <f t="shared" si="46"/>
        <v>-0.9857120510294948</v>
      </c>
      <c r="AV50" s="488">
        <f t="shared" si="46"/>
        <v>3.6797952714019573</v>
      </c>
      <c r="AW50" s="488">
        <f t="shared" si="46"/>
        <v>0.6142506112153114</v>
      </c>
      <c r="AX50" s="488">
        <f t="shared" si="46"/>
        <v>3.7412404991625294</v>
      </c>
      <c r="AY50" s="488">
        <f t="shared" si="46"/>
        <v>5.971506858309297</v>
      </c>
      <c r="AZ50" s="488">
        <f t="shared" si="47"/>
        <v>5.652454319493856</v>
      </c>
      <c r="BA50" s="488">
        <f t="shared" si="47"/>
        <v>6.281784849840207</v>
      </c>
      <c r="BB50" s="488">
        <f t="shared" si="47"/>
        <v>-3.130676292550973</v>
      </c>
      <c r="BC50" s="488">
        <f t="shared" si="47"/>
        <v>0.5298603092798828</v>
      </c>
      <c r="BD50" s="488">
        <f t="shared" si="47"/>
        <v>3.153791703320195</v>
      </c>
      <c r="BE50" s="488">
        <f t="shared" si="47"/>
        <v>0.4789033595287151</v>
      </c>
      <c r="BF50" s="488">
        <f t="shared" si="47"/>
        <v>2.4298357593127093</v>
      </c>
      <c r="BG50" s="488">
        <f t="shared" si="47"/>
        <v>-6.344594866263691</v>
      </c>
      <c r="BH50" s="488">
        <f t="shared" si="47"/>
        <v>11.986262640327922</v>
      </c>
      <c r="BI50" s="488" t="e">
        <f t="shared" si="47"/>
        <v>#DIV/0!</v>
      </c>
      <c r="BJ50" s="150"/>
    </row>
    <row r="51" spans="15:62" ht="10.5">
      <c r="O51" s="150"/>
      <c r="P51" s="6" t="s">
        <v>59</v>
      </c>
      <c r="Q51" s="488">
        <f t="shared" si="42"/>
        <v>-1.1472044824487426</v>
      </c>
      <c r="R51" s="488">
        <f t="shared" si="43"/>
        <v>0.3080914726660353</v>
      </c>
      <c r="S51" s="488">
        <f t="shared" si="43"/>
        <v>0.012287980560145684</v>
      </c>
      <c r="T51" s="488">
        <f t="shared" si="43"/>
        <v>0.10847998619738064</v>
      </c>
      <c r="U51" s="488">
        <f t="shared" si="43"/>
        <v>-0.15886111164405747</v>
      </c>
      <c r="V51" s="488">
        <f t="shared" si="43"/>
        <v>0.5097306220482949</v>
      </c>
      <c r="W51" s="488">
        <f t="shared" si="43"/>
        <v>-0.880517664864584</v>
      </c>
      <c r="X51" s="488">
        <f t="shared" si="43"/>
        <v>2.48565399113032</v>
      </c>
      <c r="Y51" s="488">
        <f t="shared" si="43"/>
        <v>-1.6674878558749668</v>
      </c>
      <c r="Z51" s="488">
        <f t="shared" si="43"/>
        <v>-3.4491083469289663</v>
      </c>
      <c r="AA51" s="488">
        <f t="shared" si="43"/>
        <v>-1.222815816872668</v>
      </c>
      <c r="AB51" s="488">
        <f t="shared" si="44"/>
        <v>-1.4006100209012118</v>
      </c>
      <c r="AC51" s="488">
        <f t="shared" si="44"/>
        <v>3.055861141669709</v>
      </c>
      <c r="AD51" s="488">
        <f t="shared" si="44"/>
        <v>-11.052999766814352</v>
      </c>
      <c r="AE51" s="488">
        <f t="shared" si="44"/>
        <v>-2.9120425245959325</v>
      </c>
      <c r="AF51" s="488">
        <f t="shared" si="44"/>
        <v>-2.7927190158015236</v>
      </c>
      <c r="AG51" s="488">
        <f t="shared" si="44"/>
        <v>-2.92050427615807</v>
      </c>
      <c r="AH51" s="488">
        <f t="shared" si="44"/>
        <v>3.518712331733383</v>
      </c>
      <c r="AI51" s="488">
        <f t="shared" si="44"/>
        <v>-5.873580170819764</v>
      </c>
      <c r="AJ51" s="488">
        <f t="shared" si="44"/>
        <v>4.151981078858441</v>
      </c>
      <c r="AK51" s="488" t="e">
        <f t="shared" si="44"/>
        <v>#DIV/0!</v>
      </c>
      <c r="AL51" s="150"/>
      <c r="AM51" s="150"/>
      <c r="AO51" s="488">
        <f t="shared" si="45"/>
        <v>-0.6235161509489444</v>
      </c>
      <c r="AP51" s="488">
        <f t="shared" si="46"/>
        <v>0.5353214578806273</v>
      </c>
      <c r="AQ51" s="488">
        <f t="shared" si="46"/>
        <v>0.6252195257296194</v>
      </c>
      <c r="AR51" s="488">
        <f t="shared" si="46"/>
        <v>0.335250298576085</v>
      </c>
      <c r="AS51" s="488">
        <f t="shared" si="46"/>
        <v>0.8892201439491174</v>
      </c>
      <c r="AT51" s="488">
        <f t="shared" si="46"/>
        <v>0.3871537971921839</v>
      </c>
      <c r="AU51" s="488">
        <f t="shared" si="46"/>
        <v>-0.8145900129701147</v>
      </c>
      <c r="AV51" s="488">
        <f t="shared" si="46"/>
        <v>2.5101739180413745</v>
      </c>
      <c r="AW51" s="488">
        <f t="shared" si="46"/>
        <v>-1.4023244654191842</v>
      </c>
      <c r="AX51" s="488">
        <f t="shared" si="46"/>
        <v>-1.765562352959975</v>
      </c>
      <c r="AY51" s="488">
        <f t="shared" si="46"/>
        <v>2.01422621960954</v>
      </c>
      <c r="AZ51" s="488">
        <f t="shared" si="47"/>
        <v>4.463655173857845</v>
      </c>
      <c r="BA51" s="488">
        <f t="shared" si="47"/>
        <v>-0.07901778815261196</v>
      </c>
      <c r="BB51" s="488">
        <f t="shared" si="47"/>
        <v>-13.68146134681271</v>
      </c>
      <c r="BC51" s="488">
        <f t="shared" si="47"/>
        <v>-1.3168452823910428</v>
      </c>
      <c r="BD51" s="488">
        <f t="shared" si="47"/>
        <v>-0.20767605984750048</v>
      </c>
      <c r="BE51" s="488">
        <f t="shared" si="47"/>
        <v>-1.3382916601779584</v>
      </c>
      <c r="BF51" s="488">
        <f t="shared" si="47"/>
        <v>2.199126589150822</v>
      </c>
      <c r="BG51" s="488">
        <f t="shared" si="47"/>
        <v>-11.286638444101726</v>
      </c>
      <c r="BH51" s="488">
        <f t="shared" si="47"/>
        <v>3.6350868637697147</v>
      </c>
      <c r="BI51" s="488" t="e">
        <f t="shared" si="47"/>
        <v>#DIV/0!</v>
      </c>
      <c r="BJ51" s="150"/>
    </row>
    <row r="52" spans="15:62" ht="10.5">
      <c r="O52" s="150"/>
      <c r="P52" s="6" t="s">
        <v>60</v>
      </c>
      <c r="Q52" s="488">
        <f t="shared" si="42"/>
        <v>-0.9073346265953717</v>
      </c>
      <c r="R52" s="488">
        <f t="shared" si="43"/>
        <v>-2.0294859385234645</v>
      </c>
      <c r="S52" s="488">
        <f t="shared" si="43"/>
        <v>-3.544399153967788</v>
      </c>
      <c r="T52" s="488">
        <f t="shared" si="43"/>
        <v>-4.704998921951784</v>
      </c>
      <c r="U52" s="488">
        <f t="shared" si="43"/>
        <v>-1.6879410132403194</v>
      </c>
      <c r="V52" s="488">
        <f t="shared" si="43"/>
        <v>-1.0603822839093056</v>
      </c>
      <c r="W52" s="488">
        <f t="shared" si="43"/>
        <v>-1.663886592948984</v>
      </c>
      <c r="X52" s="488">
        <f t="shared" si="43"/>
        <v>-0.20457714823703554</v>
      </c>
      <c r="Y52" s="488">
        <f t="shared" si="43"/>
        <v>-0.5100330128405659</v>
      </c>
      <c r="Z52" s="488">
        <f t="shared" si="43"/>
        <v>-6.846302343623151</v>
      </c>
      <c r="AA52" s="488">
        <f t="shared" si="43"/>
        <v>-4.140926421430038</v>
      </c>
      <c r="AB52" s="488">
        <f t="shared" si="44"/>
        <v>-4.263872798580039</v>
      </c>
      <c r="AC52" s="488">
        <f t="shared" si="44"/>
        <v>-1.759892965574025</v>
      </c>
      <c r="AD52" s="488">
        <f t="shared" si="44"/>
        <v>-13.602205831319523</v>
      </c>
      <c r="AE52" s="488">
        <f t="shared" si="44"/>
        <v>0.9483633518813264</v>
      </c>
      <c r="AF52" s="488">
        <f t="shared" si="44"/>
        <v>2.472498280268681</v>
      </c>
      <c r="AG52" s="488">
        <f t="shared" si="44"/>
        <v>0.8479901116927806</v>
      </c>
      <c r="AH52" s="488">
        <f t="shared" si="44"/>
        <v>-0.28391979871584283</v>
      </c>
      <c r="AI52" s="488">
        <f t="shared" si="44"/>
        <v>-4.903095367697844</v>
      </c>
      <c r="AJ52" s="488">
        <f t="shared" si="44"/>
        <v>-2.7200160363695147</v>
      </c>
      <c r="AK52" s="488" t="e">
        <f t="shared" si="44"/>
        <v>#DIV/0!</v>
      </c>
      <c r="AL52" s="150"/>
      <c r="AM52" s="150"/>
      <c r="AO52" s="488">
        <f t="shared" si="45"/>
        <v>-2.94237222648934</v>
      </c>
      <c r="AP52" s="488">
        <f t="shared" si="46"/>
        <v>-1.8943853034487574</v>
      </c>
      <c r="AQ52" s="488">
        <f t="shared" si="46"/>
        <v>-3.306460537712155</v>
      </c>
      <c r="AR52" s="488">
        <f t="shared" si="46"/>
        <v>-4.320915761696824</v>
      </c>
      <c r="AS52" s="488">
        <f t="shared" si="46"/>
        <v>-2.518483966433422</v>
      </c>
      <c r="AT52" s="488">
        <f t="shared" si="46"/>
        <v>0.38103324890843737</v>
      </c>
      <c r="AU52" s="488">
        <f t="shared" si="46"/>
        <v>-1.0026512358956836</v>
      </c>
      <c r="AV52" s="488">
        <f t="shared" si="46"/>
        <v>2.834169534953787</v>
      </c>
      <c r="AW52" s="488">
        <f t="shared" si="46"/>
        <v>-3.4027289631791007</v>
      </c>
      <c r="AX52" s="488">
        <f t="shared" si="46"/>
        <v>-5.162512098611728</v>
      </c>
      <c r="AY52" s="488">
        <f t="shared" si="46"/>
        <v>-1.7505749891348614</v>
      </c>
      <c r="AZ52" s="488">
        <f t="shared" si="47"/>
        <v>1.3830836792092782</v>
      </c>
      <c r="BA52" s="488">
        <f t="shared" si="47"/>
        <v>-3.692819647544056</v>
      </c>
      <c r="BB52" s="488">
        <f t="shared" si="47"/>
        <v>-15.759882280198056</v>
      </c>
      <c r="BC52" s="488">
        <f t="shared" si="47"/>
        <v>-3.8936763128274805</v>
      </c>
      <c r="BD52" s="488">
        <f t="shared" si="47"/>
        <v>2.6802119326307263</v>
      </c>
      <c r="BE52" s="488">
        <f t="shared" si="47"/>
        <v>-4.01640145719314</v>
      </c>
      <c r="BF52" s="488">
        <f t="shared" si="47"/>
        <v>0.5711450026659577</v>
      </c>
      <c r="BG52" s="488">
        <f t="shared" si="47"/>
        <v>-5.678372860334591</v>
      </c>
      <c r="BH52" s="488">
        <f t="shared" si="47"/>
        <v>-2.5740506924459226</v>
      </c>
      <c r="BI52" s="488" t="e">
        <f t="shared" si="47"/>
        <v>#DIV/0!</v>
      </c>
      <c r="BJ52" s="150"/>
    </row>
    <row r="53" spans="15:62" ht="10.5">
      <c r="O53" s="150"/>
      <c r="P53" s="46" t="s">
        <v>61</v>
      </c>
      <c r="Q53" s="488">
        <f t="shared" si="42"/>
        <v>2.140040852388637</v>
      </c>
      <c r="R53" s="488">
        <f t="shared" si="43"/>
        <v>0.030052198619983983</v>
      </c>
      <c r="S53" s="488">
        <f t="shared" si="43"/>
        <v>0.005667030773409465</v>
      </c>
      <c r="T53" s="488">
        <f t="shared" si="43"/>
        <v>-0.3089777203184809</v>
      </c>
      <c r="U53" s="488">
        <f t="shared" si="43"/>
        <v>0.4535715757234584</v>
      </c>
      <c r="V53" s="488">
        <f t="shared" si="43"/>
        <v>0.04623692332282303</v>
      </c>
      <c r="W53" s="488">
        <f t="shared" si="43"/>
        <v>-1.0388164341989352</v>
      </c>
      <c r="X53" s="488">
        <f t="shared" si="43"/>
        <v>1.3288077889186383</v>
      </c>
      <c r="Y53" s="488">
        <f t="shared" si="43"/>
        <v>2.8441101101127373</v>
      </c>
      <c r="Z53" s="488">
        <f t="shared" si="43"/>
        <v>-5.100180854957173</v>
      </c>
      <c r="AA53" s="488">
        <f t="shared" si="43"/>
        <v>-5.015834099499443</v>
      </c>
      <c r="AB53" s="488">
        <f t="shared" si="44"/>
        <v>-5.269555807357193</v>
      </c>
      <c r="AC53" s="488">
        <f t="shared" si="44"/>
        <v>0.6137281292059242</v>
      </c>
      <c r="AD53" s="488">
        <f t="shared" si="44"/>
        <v>-5.375058638379002</v>
      </c>
      <c r="AE53" s="488">
        <f t="shared" si="44"/>
        <v>3.853844526289123</v>
      </c>
      <c r="AF53" s="488">
        <f t="shared" si="44"/>
        <v>4.633197222768686</v>
      </c>
      <c r="AG53" s="488">
        <f t="shared" si="44"/>
        <v>3.8004731081179273</v>
      </c>
      <c r="AH53" s="488">
        <f t="shared" si="44"/>
        <v>5.014250068091059</v>
      </c>
      <c r="AI53" s="488">
        <f t="shared" si="44"/>
        <v>-4.2788335547302125</v>
      </c>
      <c r="AJ53" s="488">
        <f t="shared" si="44"/>
        <v>-1.5742462816751726</v>
      </c>
      <c r="AK53" s="488" t="e">
        <f t="shared" si="44"/>
        <v>#DIV/0!</v>
      </c>
      <c r="AL53" s="150"/>
      <c r="AM53" s="150"/>
      <c r="AO53" s="488">
        <f t="shared" si="45"/>
        <v>2.230118152379319</v>
      </c>
      <c r="AP53" s="488">
        <f t="shared" si="46"/>
        <v>-0.24810131292609583</v>
      </c>
      <c r="AQ53" s="488">
        <f t="shared" si="46"/>
        <v>-0.26182263728934174</v>
      </c>
      <c r="AR53" s="488">
        <f t="shared" si="46"/>
        <v>0.2604999715584597</v>
      </c>
      <c r="AS53" s="488">
        <f t="shared" si="46"/>
        <v>-0.6468406441426993</v>
      </c>
      <c r="AT53" s="488">
        <f t="shared" si="46"/>
        <v>-0.2250726095476807</v>
      </c>
      <c r="AU53" s="488">
        <f t="shared" si="46"/>
        <v>-0.9428632027690469</v>
      </c>
      <c r="AV53" s="488">
        <f t="shared" si="46"/>
        <v>0.824844235423356</v>
      </c>
      <c r="AW53" s="488">
        <f t="shared" si="46"/>
        <v>3.5913263839235583</v>
      </c>
      <c r="AX53" s="488">
        <f t="shared" si="46"/>
        <v>-1.8619687836081482</v>
      </c>
      <c r="AY53" s="488">
        <f t="shared" si="46"/>
        <v>0.3593149391445394</v>
      </c>
      <c r="AZ53" s="488">
        <f t="shared" si="47"/>
        <v>1.9178847026781796</v>
      </c>
      <c r="BA53" s="488">
        <f t="shared" si="47"/>
        <v>-0.7214443996776794</v>
      </c>
      <c r="BB53" s="488">
        <f t="shared" si="47"/>
        <v>-9.622655477814305</v>
      </c>
      <c r="BC53" s="488">
        <f t="shared" si="47"/>
        <v>4.9925940127685635</v>
      </c>
      <c r="BD53" s="488">
        <f t="shared" si="47"/>
        <v>5.243706709307631</v>
      </c>
      <c r="BE53" s="488">
        <f t="shared" si="47"/>
        <v>4.987710487661047</v>
      </c>
      <c r="BF53" s="488">
        <f t="shared" si="47"/>
        <v>5.094260878733394</v>
      </c>
      <c r="BG53" s="488">
        <f t="shared" si="47"/>
        <v>-7.010473125401489</v>
      </c>
      <c r="BH53" s="488">
        <f t="shared" si="47"/>
        <v>-1.9959695181920267</v>
      </c>
      <c r="BI53" s="488" t="e">
        <f t="shared" si="47"/>
        <v>#DIV/0!</v>
      </c>
      <c r="BJ53" s="150"/>
    </row>
    <row r="54" spans="15:62" ht="10.5">
      <c r="O54" s="150"/>
      <c r="P54" s="150"/>
      <c r="Q54" s="150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</row>
    <row r="55" spans="18:37" ht="10.5" customHeight="1"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</row>
    <row r="56" spans="15:37" ht="10.5" customHeight="1">
      <c r="O56" s="2" t="s">
        <v>67</v>
      </c>
      <c r="P56"/>
      <c r="Q56"/>
      <c r="R56" s="141">
        <f>SUM(R46:R51)/6</f>
        <v>-0.07713035439993376</v>
      </c>
      <c r="S56" s="141">
        <f aca="true" t="shared" si="48" ref="S56:AH56">SUM(S46:S51)/6</f>
        <v>-0.04200604257851618</v>
      </c>
      <c r="T56" s="141">
        <f t="shared" si="48"/>
        <v>-0.32865135592042094</v>
      </c>
      <c r="U56" s="141">
        <f t="shared" si="48"/>
        <v>0.4005336039320895</v>
      </c>
      <c r="V56" s="141">
        <f t="shared" si="48"/>
        <v>-0.1008829629187981</v>
      </c>
      <c r="W56" s="141">
        <f t="shared" si="48"/>
        <v>-1.2616835904938195</v>
      </c>
      <c r="X56" s="141">
        <f t="shared" si="48"/>
        <v>1.5013209807946595</v>
      </c>
      <c r="Y56" s="141">
        <f t="shared" si="48"/>
        <v>0.47631470688115246</v>
      </c>
      <c r="Z56" s="141">
        <f t="shared" si="48"/>
        <v>-2.2189261056361027</v>
      </c>
      <c r="AA56" s="141">
        <f t="shared" si="48"/>
        <v>-1.6099469673001277</v>
      </c>
      <c r="AB56" s="141">
        <f t="shared" si="48"/>
        <v>-1.784355876463574</v>
      </c>
      <c r="AC56" s="141">
        <f t="shared" si="48"/>
        <v>2.1874244179069513</v>
      </c>
      <c r="AD56" s="141">
        <f t="shared" si="48"/>
        <v>-4.19526239047745</v>
      </c>
      <c r="AE56" s="141">
        <f t="shared" si="48"/>
        <v>-0.19195593778014577</v>
      </c>
      <c r="AF56" s="141">
        <f t="shared" si="48"/>
        <v>-1.2700843414993273</v>
      </c>
      <c r="AG56" s="141">
        <f t="shared" si="48"/>
        <v>-0.1243548936819181</v>
      </c>
      <c r="AH56" s="141">
        <f t="shared" si="48"/>
        <v>4.3004942121925795</v>
      </c>
      <c r="AI56" s="141">
        <f>SUM(AI46:AI51)/6</f>
        <v>-3.4207312321246945</v>
      </c>
      <c r="AJ56" s="141">
        <f>SUM(AJ46:AJ51)/6</f>
        <v>4.127764674316971</v>
      </c>
      <c r="AK56" s="141"/>
    </row>
    <row r="57" spans="17:37" ht="13.5">
      <c r="Q57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</row>
    <row r="58" spans="18:37" ht="10.5"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</row>
    <row r="59" spans="18:37" ht="11.25" thickBot="1">
      <c r="R59" s="417" t="s">
        <v>192</v>
      </c>
      <c r="S59" s="417" t="s">
        <v>183</v>
      </c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</row>
    <row r="60" spans="17:37" ht="11.25" thickBot="1">
      <c r="Q60" s="14"/>
      <c r="R60" s="237" t="s">
        <v>12</v>
      </c>
      <c r="S60" s="238" t="s">
        <v>12</v>
      </c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</row>
    <row r="61" spans="17:37" ht="10.5">
      <c r="Q61" s="6" t="s">
        <v>50</v>
      </c>
      <c r="R61" s="126">
        <v>7224423.807</v>
      </c>
      <c r="S61" s="424">
        <f aca="true" t="shared" si="49" ref="S61:S73">Q26</f>
        <v>6979494.94</v>
      </c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</row>
    <row r="62" spans="17:19" ht="10.5">
      <c r="Q62" s="6" t="s">
        <v>51</v>
      </c>
      <c r="R62" s="126">
        <v>7261983.939</v>
      </c>
      <c r="S62" s="424">
        <f t="shared" si="49"/>
        <v>7093846.208</v>
      </c>
    </row>
    <row r="63" spans="17:22" ht="10.5">
      <c r="Q63" s="6" t="s">
        <v>52</v>
      </c>
      <c r="R63" s="126">
        <v>6900643.176</v>
      </c>
      <c r="S63" s="424">
        <f t="shared" si="49"/>
        <v>7020450.835</v>
      </c>
      <c r="T63" s="58">
        <f>SUM(R61:R63)</f>
        <v>21387050.922</v>
      </c>
      <c r="U63" s="58">
        <f>SUM(S61:S63)</f>
        <v>21093791.983</v>
      </c>
      <c r="V63" s="239">
        <f>U63/T63*100-100</f>
        <v>-1.3711985821211812</v>
      </c>
    </row>
    <row r="64" spans="17:22" ht="10.5">
      <c r="Q64" s="6" t="s">
        <v>53</v>
      </c>
      <c r="R64" s="126">
        <v>7387639.904</v>
      </c>
      <c r="S64" s="424">
        <f t="shared" si="49"/>
        <v>7223934.215</v>
      </c>
      <c r="V64" s="239"/>
    </row>
    <row r="65" spans="17:22" ht="10.5">
      <c r="Q65" s="6" t="s">
        <v>54</v>
      </c>
      <c r="R65" s="126">
        <v>6932943.174</v>
      </c>
      <c r="S65" s="424">
        <f t="shared" si="49"/>
        <v>6912767.377</v>
      </c>
      <c r="V65" s="239"/>
    </row>
    <row r="66" spans="17:22" ht="10.5">
      <c r="Q66" s="6" t="s">
        <v>55</v>
      </c>
      <c r="R66" s="126">
        <v>7096849.452</v>
      </c>
      <c r="S66" s="424">
        <f t="shared" si="49"/>
        <v>7037658.579</v>
      </c>
      <c r="T66" s="58">
        <f>SUM(R64:R66)</f>
        <v>21417432.53</v>
      </c>
      <c r="U66" s="58">
        <f>SUM(S64:S66)</f>
        <v>21174360.171</v>
      </c>
      <c r="V66" s="239">
        <f>U66/T66*100-100</f>
        <v>-1.1349276280409555</v>
      </c>
    </row>
    <row r="67" spans="17:22" ht="10.5">
      <c r="Q67" s="6" t="s">
        <v>56</v>
      </c>
      <c r="R67" s="126">
        <v>6993574.352</v>
      </c>
      <c r="S67" s="424">
        <f t="shared" si="49"/>
        <v>7107943.253</v>
      </c>
      <c r="V67" s="239"/>
    </row>
    <row r="68" spans="17:22" ht="10.5">
      <c r="Q68" s="6" t="s">
        <v>57</v>
      </c>
      <c r="R68" s="126">
        <v>6914517.846</v>
      </c>
      <c r="S68" s="424">
        <f t="shared" si="49"/>
        <v>7040647.88</v>
      </c>
      <c r="V68" s="239"/>
    </row>
    <row r="69" spans="17:22" ht="10.5">
      <c r="Q69" s="6" t="s">
        <v>58</v>
      </c>
      <c r="R69" s="126">
        <v>7008757.309</v>
      </c>
      <c r="S69" s="424">
        <f t="shared" si="49"/>
        <v>7068275.726</v>
      </c>
      <c r="T69" s="58">
        <f>SUM(R67:R69)</f>
        <v>20916849.507</v>
      </c>
      <c r="U69" s="58">
        <f>SUM(S67:S69)</f>
        <v>21216866.858999997</v>
      </c>
      <c r="V69" s="239">
        <f>U69/T69*100-100</f>
        <v>1.4343333679366737</v>
      </c>
    </row>
    <row r="70" spans="17:22" ht="10.5">
      <c r="Q70" s="6" t="s">
        <v>59</v>
      </c>
      <c r="R70" s="126">
        <v>6734740.757</v>
      </c>
      <c r="S70" s="424">
        <f t="shared" si="49"/>
        <v>6859298.251</v>
      </c>
      <c r="V70" s="239"/>
    </row>
    <row r="71" spans="17:22" ht="10.5">
      <c r="Q71" s="6" t="s">
        <v>60</v>
      </c>
      <c r="R71" s="126">
        <v>6283949.845</v>
      </c>
      <c r="S71" s="424">
        <f t="shared" si="49"/>
        <v>6469049.376</v>
      </c>
      <c r="V71" s="239"/>
    </row>
    <row r="72" spans="17:22" ht="10.5">
      <c r="Q72" s="46" t="s">
        <v>61</v>
      </c>
      <c r="R72" s="133">
        <v>7200826.42</v>
      </c>
      <c r="S72" s="425">
        <f t="shared" si="49"/>
        <v>7075323.858</v>
      </c>
      <c r="T72" s="58">
        <f>SUM(R70:R72)</f>
        <v>20219517.022</v>
      </c>
      <c r="U72" s="58">
        <f>SUM(S70:S72)</f>
        <v>20403671.485</v>
      </c>
      <c r="V72" s="239">
        <f>U72/T72*100-100</f>
        <v>0.9107757757004293</v>
      </c>
    </row>
    <row r="73" spans="17:19" ht="11.25" thickBot="1">
      <c r="Q73" s="51" t="s">
        <v>68</v>
      </c>
      <c r="R73" s="140">
        <v>84068331.80800001</v>
      </c>
      <c r="S73" s="426">
        <f t="shared" si="49"/>
        <v>84008787.498</v>
      </c>
    </row>
  </sheetData>
  <printOptions/>
  <pageMargins left="0.2" right="0.2" top="0.984251968503937" bottom="0.72" header="0.51" footer="0.5118110236220472"/>
  <pageSetup fitToWidth="2" horizontalDpi="400" verticalDpi="400" orientation="landscape" paperSize="9" scale="80" r:id="rId2"/>
  <headerFooter alignWithMargins="0">
    <oddHeader>&amp;C&amp;A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workbookViewId="0" topLeftCell="A21">
      <selection activeCell="J34" sqref="J34"/>
    </sheetView>
  </sheetViews>
  <sheetFormatPr defaultColWidth="9.00390625" defaultRowHeight="13.5"/>
  <cols>
    <col min="1" max="34" width="9.00390625" style="1" customWidth="1"/>
    <col min="35" max="35" width="10.50390625" style="1" customWidth="1"/>
    <col min="36" max="36" width="10.125" style="1" customWidth="1"/>
    <col min="37" max="16384" width="9.00390625" style="1" customWidth="1"/>
  </cols>
  <sheetData>
    <row r="1" spans="3:13" ht="13.5">
      <c r="C1" s="2" t="s">
        <v>77</v>
      </c>
      <c r="D1" s="2"/>
      <c r="E1" s="2"/>
      <c r="J1"/>
      <c r="K1"/>
      <c r="L1"/>
      <c r="M1"/>
    </row>
    <row r="2" spans="10:16" ht="11.25" thickBot="1">
      <c r="J2" s="2" t="s">
        <v>203</v>
      </c>
      <c r="P2" s="1" t="s">
        <v>78</v>
      </c>
    </row>
    <row r="3" spans="1:37" ht="11.2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P3" s="42"/>
      <c r="Q3" s="242" t="s">
        <v>79</v>
      </c>
      <c r="R3" s="245"/>
      <c r="S3" s="243"/>
      <c r="T3" s="244" t="s">
        <v>80</v>
      </c>
      <c r="U3" s="245"/>
      <c r="V3" s="245"/>
      <c r="W3" s="246" t="s">
        <v>81</v>
      </c>
      <c r="X3" s="245"/>
      <c r="Y3" s="243"/>
      <c r="Z3" s="244" t="s">
        <v>82</v>
      </c>
      <c r="AA3" s="245"/>
      <c r="AB3" s="243"/>
      <c r="AC3" s="244" t="s">
        <v>83</v>
      </c>
      <c r="AD3" s="245"/>
      <c r="AE3" s="243"/>
      <c r="AF3" s="244" t="s">
        <v>84</v>
      </c>
      <c r="AG3" s="245"/>
      <c r="AH3" s="243"/>
      <c r="AI3" s="274" t="s">
        <v>85</v>
      </c>
      <c r="AJ3" s="245"/>
      <c r="AK3" s="243"/>
    </row>
    <row r="4" spans="1:37" ht="11.25" thickBot="1">
      <c r="A4" s="150"/>
      <c r="B4" s="9"/>
      <c r="C4" s="10" t="s">
        <v>86</v>
      </c>
      <c r="D4" s="10"/>
      <c r="E4" s="10"/>
      <c r="F4" s="10" t="s">
        <v>87</v>
      </c>
      <c r="G4" s="8" t="s">
        <v>6</v>
      </c>
      <c r="H4" s="150"/>
      <c r="I4" s="150"/>
      <c r="J4" s="9"/>
      <c r="K4" s="10" t="s">
        <v>38</v>
      </c>
      <c r="L4" s="8" t="s">
        <v>39</v>
      </c>
      <c r="N4" s="150"/>
      <c r="P4" s="7"/>
      <c r="Q4" s="431" t="s">
        <v>10</v>
      </c>
      <c r="R4" s="278" t="s">
        <v>11</v>
      </c>
      <c r="S4" s="231" t="s">
        <v>88</v>
      </c>
      <c r="T4" s="431" t="s">
        <v>10</v>
      </c>
      <c r="U4" s="278" t="s">
        <v>11</v>
      </c>
      <c r="V4" s="254" t="s">
        <v>88</v>
      </c>
      <c r="W4" s="431" t="s">
        <v>10</v>
      </c>
      <c r="X4" s="278" t="s">
        <v>11</v>
      </c>
      <c r="Y4" s="4" t="s">
        <v>89</v>
      </c>
      <c r="Z4" s="431" t="s">
        <v>10</v>
      </c>
      <c r="AA4" s="278" t="s">
        <v>11</v>
      </c>
      <c r="AB4" s="4" t="s">
        <v>89</v>
      </c>
      <c r="AC4" s="431" t="s">
        <v>10</v>
      </c>
      <c r="AD4" s="278" t="s">
        <v>11</v>
      </c>
      <c r="AE4" s="4" t="s">
        <v>89</v>
      </c>
      <c r="AF4" s="431" t="s">
        <v>10</v>
      </c>
      <c r="AG4" s="278" t="s">
        <v>11</v>
      </c>
      <c r="AH4" s="4" t="s">
        <v>89</v>
      </c>
      <c r="AI4" s="431" t="s">
        <v>10</v>
      </c>
      <c r="AJ4" s="278" t="s">
        <v>11</v>
      </c>
      <c r="AK4" s="4" t="s">
        <v>89</v>
      </c>
    </row>
    <row r="5" spans="1:37" ht="10.5">
      <c r="A5" s="150"/>
      <c r="B5" s="67" t="s">
        <v>71</v>
      </c>
      <c r="C5" s="59">
        <v>6496.094</v>
      </c>
      <c r="D5" s="59"/>
      <c r="E5" s="59"/>
      <c r="F5" s="59">
        <v>34693.601</v>
      </c>
      <c r="G5" s="430">
        <f aca="true" t="shared" si="0" ref="G5:G14">F5/C5</f>
        <v>5.340686418638647</v>
      </c>
      <c r="H5" s="150"/>
      <c r="I5" s="150"/>
      <c r="J5" s="67" t="s">
        <v>50</v>
      </c>
      <c r="K5" s="420">
        <f>'2-1-3 旅客輸送機関分担率推移'!AB5</f>
        <v>428150</v>
      </c>
      <c r="L5" s="125">
        <f>'2-1-3 旅客輸送機関分担率推移'!AZ5</f>
        <v>2386139</v>
      </c>
      <c r="N5" s="150"/>
      <c r="P5" s="67" t="s">
        <v>50</v>
      </c>
      <c r="Q5" s="200">
        <v>3745979</v>
      </c>
      <c r="R5" s="206">
        <v>3720853</v>
      </c>
      <c r="S5" s="432">
        <f aca="true" t="shared" si="1" ref="S5:S17">R5/Q5*100-100</f>
        <v>-0.6707458851210788</v>
      </c>
      <c r="T5" s="206">
        <v>3938375</v>
      </c>
      <c r="U5" s="208">
        <v>3874653</v>
      </c>
      <c r="V5" s="433">
        <f aca="true" t="shared" si="2" ref="V5:V17">U5/T5*100-100</f>
        <v>-1.6179769575015115</v>
      </c>
      <c r="W5" s="434">
        <f aca="true" t="shared" si="3" ref="W5:W17">Q5/T5*100</f>
        <v>95.11483797251404</v>
      </c>
      <c r="X5" s="435">
        <f aca="true" t="shared" si="4" ref="X5:X17">R5/U5*100</f>
        <v>96.03061228966826</v>
      </c>
      <c r="Y5" s="432">
        <f aca="true" t="shared" si="5" ref="Y5:Y17">X5/W5*100-100</f>
        <v>0.9628091017921463</v>
      </c>
      <c r="Z5" s="208">
        <v>315371</v>
      </c>
      <c r="AA5" s="199">
        <v>348450</v>
      </c>
      <c r="AB5" s="432">
        <f aca="true" t="shared" si="6" ref="AB5:AB17">AA5/Z5*100-100</f>
        <v>10.488916228822546</v>
      </c>
      <c r="AC5" s="208">
        <v>123</v>
      </c>
      <c r="AD5" s="199">
        <v>121</v>
      </c>
      <c r="AE5" s="432">
        <f aca="true" t="shared" si="7" ref="AE5:AE17">AD5/AC5*100-100</f>
        <v>-1.6260162601626007</v>
      </c>
      <c r="AF5" s="208">
        <v>324</v>
      </c>
      <c r="AG5" s="199">
        <v>328</v>
      </c>
      <c r="AH5" s="432">
        <f aca="true" t="shared" si="8" ref="AH5:AH17">AG5/AF5*100-100</f>
        <v>1.2345679012345698</v>
      </c>
      <c r="AI5" s="208">
        <v>1159993789</v>
      </c>
      <c r="AJ5" s="199">
        <v>1170988665</v>
      </c>
      <c r="AK5" s="432">
        <f aca="true" t="shared" si="9" ref="AK5:AK17">AJ5/AI5*100-100</f>
        <v>0.9478392129563389</v>
      </c>
    </row>
    <row r="6" spans="1:37" ht="10.5">
      <c r="A6" s="150"/>
      <c r="B6" s="67" t="s">
        <v>72</v>
      </c>
      <c r="C6" s="59">
        <v>6358.294</v>
      </c>
      <c r="D6" s="59"/>
      <c r="E6" s="59"/>
      <c r="F6" s="59">
        <v>34530.401</v>
      </c>
      <c r="G6" s="430">
        <f t="shared" si="0"/>
        <v>5.430765076292477</v>
      </c>
      <c r="H6" s="150"/>
      <c r="I6" s="150"/>
      <c r="J6" s="67" t="s">
        <v>51</v>
      </c>
      <c r="K6" s="420">
        <f>'2-1-3 旅客輸送機関分担率推移'!AB6</f>
        <v>409616</v>
      </c>
      <c r="L6" s="125">
        <f>'2-1-3 旅客輸送機関分担率推移'!AZ6</f>
        <v>2268167</v>
      </c>
      <c r="N6" s="150"/>
      <c r="P6" s="67" t="s">
        <v>51</v>
      </c>
      <c r="Q6" s="200">
        <v>3806185</v>
      </c>
      <c r="R6" s="206">
        <v>3831954</v>
      </c>
      <c r="S6" s="432">
        <f t="shared" si="1"/>
        <v>0.677029624151217</v>
      </c>
      <c r="T6" s="206">
        <v>3979996</v>
      </c>
      <c r="U6" s="208">
        <v>4016988</v>
      </c>
      <c r="V6" s="433">
        <f t="shared" si="2"/>
        <v>0.9294481702996791</v>
      </c>
      <c r="W6" s="434">
        <f t="shared" si="3"/>
        <v>95.63288505817594</v>
      </c>
      <c r="X6" s="435">
        <f t="shared" si="4"/>
        <v>95.39371290130815</v>
      </c>
      <c r="Y6" s="432">
        <f t="shared" si="5"/>
        <v>-0.2500940515621721</v>
      </c>
      <c r="Z6" s="208">
        <v>330305</v>
      </c>
      <c r="AA6" s="199">
        <v>362141</v>
      </c>
      <c r="AB6" s="432">
        <f t="shared" si="6"/>
        <v>9.638364541862813</v>
      </c>
      <c r="AC6" s="208">
        <v>122</v>
      </c>
      <c r="AD6" s="199">
        <v>121</v>
      </c>
      <c r="AE6" s="432">
        <f t="shared" si="7"/>
        <v>-0.8196721311475414</v>
      </c>
      <c r="AF6" s="208">
        <v>324</v>
      </c>
      <c r="AG6" s="199">
        <v>324</v>
      </c>
      <c r="AH6" s="432">
        <f t="shared" si="8"/>
        <v>0</v>
      </c>
      <c r="AI6" s="208">
        <v>1210354753</v>
      </c>
      <c r="AJ6" s="199">
        <v>1179643149</v>
      </c>
      <c r="AK6" s="432">
        <f t="shared" si="9"/>
        <v>-2.537405163558688</v>
      </c>
    </row>
    <row r="7" spans="1:37" ht="10.5">
      <c r="A7" s="150"/>
      <c r="B7" s="67" t="s">
        <v>69</v>
      </c>
      <c r="C7" s="59">
        <v>6195.844</v>
      </c>
      <c r="D7" s="59"/>
      <c r="E7" s="59"/>
      <c r="F7" s="59">
        <v>33092.138</v>
      </c>
      <c r="G7" s="430">
        <f t="shared" si="0"/>
        <v>5.3410218204331805</v>
      </c>
      <c r="H7" s="150"/>
      <c r="I7" s="150"/>
      <c r="J7" s="67" t="s">
        <v>52</v>
      </c>
      <c r="K7" s="420">
        <f>'2-1-3 旅客輸送機関分担率推移'!AB7</f>
        <v>418001</v>
      </c>
      <c r="L7" s="125">
        <f>'2-1-3 旅客輸送機関分担率推移'!AZ7</f>
        <v>2254783</v>
      </c>
      <c r="N7" s="150"/>
      <c r="P7" s="67" t="s">
        <v>52</v>
      </c>
      <c r="Q7" s="200">
        <v>3516564</v>
      </c>
      <c r="R7" s="206">
        <v>3375422</v>
      </c>
      <c r="S7" s="432">
        <f t="shared" si="1"/>
        <v>-4.013633762957241</v>
      </c>
      <c r="T7" s="206">
        <v>3699848</v>
      </c>
      <c r="U7" s="208">
        <v>3531404</v>
      </c>
      <c r="V7" s="433">
        <f t="shared" si="2"/>
        <v>-4.552727571511056</v>
      </c>
      <c r="W7" s="434">
        <f t="shared" si="3"/>
        <v>95.04617486988654</v>
      </c>
      <c r="X7" s="435">
        <f t="shared" si="4"/>
        <v>95.5830032474336</v>
      </c>
      <c r="Y7" s="432">
        <f t="shared" si="5"/>
        <v>0.564807977051089</v>
      </c>
      <c r="Z7" s="208">
        <v>312191</v>
      </c>
      <c r="AA7" s="199">
        <v>316144</v>
      </c>
      <c r="AB7" s="432">
        <f t="shared" si="6"/>
        <v>1.2662120304557192</v>
      </c>
      <c r="AC7" s="208">
        <v>121</v>
      </c>
      <c r="AD7" s="199">
        <v>119</v>
      </c>
      <c r="AE7" s="432">
        <f t="shared" si="7"/>
        <v>-1.6528925619834638</v>
      </c>
      <c r="AF7" s="208">
        <v>328</v>
      </c>
      <c r="AG7" s="199">
        <v>325</v>
      </c>
      <c r="AH7" s="432">
        <f t="shared" si="8"/>
        <v>-0.91463414634147</v>
      </c>
      <c r="AI7" s="208">
        <v>1006919105</v>
      </c>
      <c r="AJ7" s="199">
        <v>981295454</v>
      </c>
      <c r="AK7" s="432">
        <f t="shared" si="9"/>
        <v>-2.544757654588352</v>
      </c>
    </row>
    <row r="8" spans="1:37" ht="10.5">
      <c r="A8" s="150"/>
      <c r="B8" s="67" t="s">
        <v>70</v>
      </c>
      <c r="C8" s="59">
        <v>5938.505</v>
      </c>
      <c r="D8" s="59"/>
      <c r="E8" s="59"/>
      <c r="F8" s="59">
        <v>31883.321</v>
      </c>
      <c r="G8" s="430">
        <f t="shared" si="0"/>
        <v>5.368913724918982</v>
      </c>
      <c r="H8" s="150"/>
      <c r="I8" s="150"/>
      <c r="J8" s="67" t="s">
        <v>53</v>
      </c>
      <c r="K8" s="420">
        <f>'2-1-3 旅客輸送機関分担率推移'!AB8</f>
        <v>402389</v>
      </c>
      <c r="L8" s="125">
        <f>'2-1-3 旅客輸送機関分担率推移'!AZ8</f>
        <v>2239760</v>
      </c>
      <c r="N8" s="150"/>
      <c r="P8" s="67" t="s">
        <v>53</v>
      </c>
      <c r="Q8" s="200">
        <v>3724073</v>
      </c>
      <c r="R8" s="206">
        <v>3811566</v>
      </c>
      <c r="S8" s="432">
        <f t="shared" si="1"/>
        <v>2.3493900361244187</v>
      </c>
      <c r="T8" s="206">
        <v>3902190</v>
      </c>
      <c r="U8" s="208">
        <v>3997190</v>
      </c>
      <c r="V8" s="433">
        <f t="shared" si="2"/>
        <v>2.4345303534681904</v>
      </c>
      <c r="W8" s="434">
        <f t="shared" si="3"/>
        <v>95.43546060032956</v>
      </c>
      <c r="X8" s="435">
        <f t="shared" si="4"/>
        <v>95.35613768672494</v>
      </c>
      <c r="Y8" s="432">
        <f t="shared" si="5"/>
        <v>-0.08311681329523424</v>
      </c>
      <c r="Z8" s="208">
        <v>328315</v>
      </c>
      <c r="AA8" s="199">
        <v>370502</v>
      </c>
      <c r="AB8" s="432">
        <f t="shared" si="6"/>
        <v>12.849549974871692</v>
      </c>
      <c r="AC8" s="208">
        <v>119</v>
      </c>
      <c r="AD8" s="199">
        <v>120</v>
      </c>
      <c r="AE8" s="432">
        <f t="shared" si="7"/>
        <v>0.8403361344537785</v>
      </c>
      <c r="AF8" s="208">
        <v>323</v>
      </c>
      <c r="AG8" s="199">
        <v>333</v>
      </c>
      <c r="AH8" s="432">
        <f t="shared" si="8"/>
        <v>3.0959752321981284</v>
      </c>
      <c r="AI8" s="208">
        <v>1125693374</v>
      </c>
      <c r="AJ8" s="199">
        <v>1162731548</v>
      </c>
      <c r="AK8" s="432">
        <f t="shared" si="9"/>
        <v>3.2902542428929706</v>
      </c>
    </row>
    <row r="9" spans="1:37" ht="10.5">
      <c r="A9" s="150"/>
      <c r="B9" s="67" t="s">
        <v>1</v>
      </c>
      <c r="C9" s="59">
        <v>5756.231</v>
      </c>
      <c r="D9" s="59"/>
      <c r="E9" s="59"/>
      <c r="F9" s="59">
        <v>30634.89</v>
      </c>
      <c r="G9" s="430">
        <f t="shared" si="0"/>
        <v>5.32203971661318</v>
      </c>
      <c r="H9" s="150"/>
      <c r="I9" s="150"/>
      <c r="J9" s="67" t="s">
        <v>54</v>
      </c>
      <c r="K9" s="420">
        <f>'2-1-3 旅客輸送機関分担率推移'!AB9</f>
        <v>392305</v>
      </c>
      <c r="L9" s="125">
        <f>'2-1-3 旅客輸送機関分担率推移'!AZ9</f>
        <v>2294171</v>
      </c>
      <c r="N9" s="150"/>
      <c r="P9" s="67" t="s">
        <v>54</v>
      </c>
      <c r="Q9" s="200">
        <v>4581509</v>
      </c>
      <c r="R9" s="206">
        <v>4701372</v>
      </c>
      <c r="S9" s="432">
        <f t="shared" si="1"/>
        <v>2.6162340835737723</v>
      </c>
      <c r="T9" s="206">
        <v>4824338</v>
      </c>
      <c r="U9" s="208">
        <v>4956453</v>
      </c>
      <c r="V9" s="433">
        <f t="shared" si="2"/>
        <v>2.738510444334537</v>
      </c>
      <c r="W9" s="434">
        <f t="shared" si="3"/>
        <v>94.96658401629405</v>
      </c>
      <c r="X9" s="435">
        <f t="shared" si="4"/>
        <v>94.85355757433794</v>
      </c>
      <c r="Y9" s="432">
        <f t="shared" si="5"/>
        <v>-0.11901706597839734</v>
      </c>
      <c r="Z9" s="208">
        <v>414809</v>
      </c>
      <c r="AA9" s="199">
        <v>457342</v>
      </c>
      <c r="AB9" s="432">
        <f t="shared" si="6"/>
        <v>10.253634805416482</v>
      </c>
      <c r="AC9" s="208">
        <v>120</v>
      </c>
      <c r="AD9" s="199">
        <v>120</v>
      </c>
      <c r="AE9" s="432">
        <f t="shared" si="7"/>
        <v>0</v>
      </c>
      <c r="AF9" s="208">
        <v>327</v>
      </c>
      <c r="AG9" s="199">
        <v>335</v>
      </c>
      <c r="AH9" s="432">
        <f t="shared" si="8"/>
        <v>2.4464831804281317</v>
      </c>
      <c r="AI9" s="208">
        <v>1564777521</v>
      </c>
      <c r="AJ9" s="199">
        <v>1612282704</v>
      </c>
      <c r="AK9" s="432">
        <f t="shared" si="9"/>
        <v>3.035906533833696</v>
      </c>
    </row>
    <row r="10" spans="1:37" ht="10.5">
      <c r="A10" s="150"/>
      <c r="B10" s="67" t="s">
        <v>2</v>
      </c>
      <c r="C10" s="59">
        <v>5599.617</v>
      </c>
      <c r="D10" s="59"/>
      <c r="E10" s="59"/>
      <c r="F10" s="59">
        <v>29342.543</v>
      </c>
      <c r="G10" s="430">
        <f t="shared" si="0"/>
        <v>5.240098206716638</v>
      </c>
      <c r="H10" s="150"/>
      <c r="I10" s="150"/>
      <c r="J10" s="67" t="s">
        <v>55</v>
      </c>
      <c r="K10" s="420">
        <f>'2-1-3 旅客輸送機関分担率推移'!AB10</f>
        <v>404880</v>
      </c>
      <c r="L10" s="125">
        <f>'2-1-3 旅客輸送機関分担率推移'!AZ10</f>
        <v>2238549</v>
      </c>
      <c r="N10" s="150"/>
      <c r="P10" s="67" t="s">
        <v>55</v>
      </c>
      <c r="Q10" s="200">
        <v>3715704</v>
      </c>
      <c r="R10" s="206">
        <v>3648360</v>
      </c>
      <c r="S10" s="432">
        <f t="shared" si="1"/>
        <v>-1.8124156283708288</v>
      </c>
      <c r="T10" s="206">
        <v>3893791</v>
      </c>
      <c r="U10" s="208">
        <v>3830266</v>
      </c>
      <c r="V10" s="433">
        <f t="shared" si="2"/>
        <v>-1.6314434955548336</v>
      </c>
      <c r="W10" s="434">
        <f t="shared" si="3"/>
        <v>95.42638523742029</v>
      </c>
      <c r="X10" s="435">
        <f t="shared" si="4"/>
        <v>95.2508259217506</v>
      </c>
      <c r="Y10" s="432">
        <f t="shared" si="5"/>
        <v>-0.1839735574525747</v>
      </c>
      <c r="Z10" s="208">
        <v>335539</v>
      </c>
      <c r="AA10" s="199">
        <v>360679</v>
      </c>
      <c r="AB10" s="432">
        <f t="shared" si="6"/>
        <v>7.492422639395116</v>
      </c>
      <c r="AC10" s="208">
        <v>120</v>
      </c>
      <c r="AD10" s="199">
        <v>119</v>
      </c>
      <c r="AE10" s="432">
        <f t="shared" si="7"/>
        <v>-0.8333333333333286</v>
      </c>
      <c r="AF10" s="208">
        <v>323</v>
      </c>
      <c r="AG10" s="199">
        <v>338</v>
      </c>
      <c r="AH10" s="432">
        <f t="shared" si="8"/>
        <v>4.643962848297221</v>
      </c>
      <c r="AI10" s="208">
        <v>1192308288</v>
      </c>
      <c r="AJ10" s="199">
        <v>1365974704</v>
      </c>
      <c r="AK10" s="432">
        <f t="shared" si="9"/>
        <v>14.565563097050287</v>
      </c>
    </row>
    <row r="11" spans="1:37" ht="10.5">
      <c r="A11" s="150"/>
      <c r="B11" s="67" t="s">
        <v>3</v>
      </c>
      <c r="C11" s="59">
        <v>5399.848</v>
      </c>
      <c r="D11" s="59"/>
      <c r="E11" s="59"/>
      <c r="F11" s="59">
        <v>28285.232</v>
      </c>
      <c r="G11" s="430">
        <f t="shared" si="0"/>
        <v>5.2381533702430145</v>
      </c>
      <c r="H11" s="150"/>
      <c r="I11" s="150"/>
      <c r="J11" s="67" t="s">
        <v>56</v>
      </c>
      <c r="K11" s="420">
        <f>'2-1-3 旅客輸送機関分担率推移'!AB11</f>
        <v>412750</v>
      </c>
      <c r="L11" s="125">
        <f>'2-1-3 旅客輸送機関分担率推移'!AZ11</f>
        <v>2343147</v>
      </c>
      <c r="N11" s="150"/>
      <c r="P11" s="67" t="s">
        <v>56</v>
      </c>
      <c r="Q11" s="200">
        <v>3645173</v>
      </c>
      <c r="R11" s="206">
        <v>3718561</v>
      </c>
      <c r="S11" s="432">
        <f t="shared" si="1"/>
        <v>2.0132926475643416</v>
      </c>
      <c r="T11" s="206">
        <v>3828259</v>
      </c>
      <c r="U11" s="208">
        <v>3910662</v>
      </c>
      <c r="V11" s="433">
        <f t="shared" si="2"/>
        <v>2.152492817231021</v>
      </c>
      <c r="W11" s="434">
        <f t="shared" si="3"/>
        <v>95.21751271269785</v>
      </c>
      <c r="X11" s="435">
        <f t="shared" si="4"/>
        <v>95.08776263456161</v>
      </c>
      <c r="Y11" s="432">
        <f t="shared" si="5"/>
        <v>-0.13626703159926024</v>
      </c>
      <c r="Z11" s="208">
        <v>315179</v>
      </c>
      <c r="AA11" s="199">
        <v>351692</v>
      </c>
      <c r="AB11" s="432">
        <f t="shared" si="6"/>
        <v>11.584845437037373</v>
      </c>
      <c r="AC11" s="208">
        <v>119</v>
      </c>
      <c r="AD11" s="199">
        <v>116</v>
      </c>
      <c r="AE11" s="432">
        <f t="shared" si="7"/>
        <v>-2.52100840336135</v>
      </c>
      <c r="AF11" s="208">
        <v>319</v>
      </c>
      <c r="AG11" s="199">
        <v>329</v>
      </c>
      <c r="AH11" s="432">
        <f t="shared" si="8"/>
        <v>3.1347962382445047</v>
      </c>
      <c r="AI11" s="208">
        <v>1132862801</v>
      </c>
      <c r="AJ11" s="199">
        <v>1358629367</v>
      </c>
      <c r="AK11" s="432">
        <f t="shared" si="9"/>
        <v>19.9288533263438</v>
      </c>
    </row>
    <row r="12" spans="1:37" ht="10.5">
      <c r="A12" s="150"/>
      <c r="B12" s="67" t="s">
        <v>10</v>
      </c>
      <c r="C12" s="59">
        <v>5171.516</v>
      </c>
      <c r="D12" s="59"/>
      <c r="E12" s="59"/>
      <c r="F12" s="59">
        <v>28119.067</v>
      </c>
      <c r="G12" s="430">
        <f t="shared" si="0"/>
        <v>5.437296723049876</v>
      </c>
      <c r="H12" s="150"/>
      <c r="I12" s="150"/>
      <c r="J12" s="67" t="s">
        <v>57</v>
      </c>
      <c r="K12" s="420">
        <f>'2-1-3 旅客輸送機関分担率推移'!AB12</f>
        <v>402645</v>
      </c>
      <c r="L12" s="125">
        <f>'2-1-3 旅客輸送機関分担率推移'!AZ12</f>
        <v>2280257</v>
      </c>
      <c r="N12" s="150"/>
      <c r="P12" s="67" t="s">
        <v>57</v>
      </c>
      <c r="Q12" s="200">
        <v>3668114</v>
      </c>
      <c r="R12" s="206">
        <v>3540371</v>
      </c>
      <c r="S12" s="432">
        <f t="shared" si="1"/>
        <v>-3.4825253522654975</v>
      </c>
      <c r="T12" s="206">
        <v>3853085</v>
      </c>
      <c r="U12" s="208">
        <v>3715843</v>
      </c>
      <c r="V12" s="433">
        <f t="shared" si="2"/>
        <v>-3.561873148399272</v>
      </c>
      <c r="W12" s="434">
        <f t="shared" si="3"/>
        <v>95.19940515197563</v>
      </c>
      <c r="X12" s="435">
        <f t="shared" si="4"/>
        <v>95.27773374709318</v>
      </c>
      <c r="Y12" s="432">
        <f t="shared" si="5"/>
        <v>0.08227845015682078</v>
      </c>
      <c r="Z12" s="208">
        <v>338258</v>
      </c>
      <c r="AA12" s="199">
        <v>356966</v>
      </c>
      <c r="AB12" s="432">
        <f t="shared" si="6"/>
        <v>5.530689591968255</v>
      </c>
      <c r="AC12" s="208">
        <v>119</v>
      </c>
      <c r="AD12" s="199">
        <v>123</v>
      </c>
      <c r="AE12" s="432">
        <f t="shared" si="7"/>
        <v>3.3613445378151425</v>
      </c>
      <c r="AF12" s="208">
        <v>325</v>
      </c>
      <c r="AG12" s="199">
        <v>329</v>
      </c>
      <c r="AH12" s="432">
        <f t="shared" si="8"/>
        <v>1.2307692307692406</v>
      </c>
      <c r="AI12" s="208">
        <v>1163348216</v>
      </c>
      <c r="AJ12" s="199">
        <v>1133837109</v>
      </c>
      <c r="AK12" s="432">
        <f t="shared" si="9"/>
        <v>-2.536738922544572</v>
      </c>
    </row>
    <row r="13" spans="1:37" ht="10.5">
      <c r="A13" s="150"/>
      <c r="B13" s="67" t="s">
        <v>11</v>
      </c>
      <c r="C13" s="59">
        <f>'2-1-3 旅客輸送機関分担率推移'!AB38/1000</f>
        <v>4937.13</v>
      </c>
      <c r="D13" s="59"/>
      <c r="E13" s="59"/>
      <c r="F13" s="59">
        <f>'2-1-3 旅客輸送機関分担率推移'!AZ38/1000</f>
        <v>26557.152</v>
      </c>
      <c r="G13" s="430">
        <f t="shared" si="0"/>
        <v>5.3790667857641985</v>
      </c>
      <c r="H13" s="150"/>
      <c r="I13" s="150"/>
      <c r="J13" s="67" t="s">
        <v>58</v>
      </c>
      <c r="K13" s="420">
        <f>'2-1-3 旅客輸送機関分担率推移'!AB13</f>
        <v>393325</v>
      </c>
      <c r="L13" s="125">
        <f>'2-1-3 旅客輸送機関分担率推移'!AZ13</f>
        <v>2221383</v>
      </c>
      <c r="N13" s="150"/>
      <c r="P13" s="67" t="s">
        <v>58</v>
      </c>
      <c r="Q13" s="200">
        <v>3904165</v>
      </c>
      <c r="R13" s="206">
        <v>3657451</v>
      </c>
      <c r="S13" s="432">
        <f t="shared" si="1"/>
        <v>-6.319251363607833</v>
      </c>
      <c r="T13" s="206">
        <v>4096424</v>
      </c>
      <c r="U13" s="208">
        <v>3868868</v>
      </c>
      <c r="V13" s="433">
        <f t="shared" si="2"/>
        <v>-5.554991377845653</v>
      </c>
      <c r="W13" s="434">
        <f t="shared" si="3"/>
        <v>95.30666259156767</v>
      </c>
      <c r="X13" s="435">
        <f t="shared" si="4"/>
        <v>94.53543000174727</v>
      </c>
      <c r="Y13" s="432">
        <f t="shared" si="5"/>
        <v>-0.8092116215688776</v>
      </c>
      <c r="Z13" s="208">
        <v>324278</v>
      </c>
      <c r="AA13" s="199">
        <v>351630</v>
      </c>
      <c r="AB13" s="432">
        <f t="shared" si="6"/>
        <v>8.434738095091248</v>
      </c>
      <c r="AC13" s="208">
        <v>119</v>
      </c>
      <c r="AD13" s="199">
        <v>116</v>
      </c>
      <c r="AE13" s="432">
        <f t="shared" si="7"/>
        <v>-2.52100840336135</v>
      </c>
      <c r="AF13" s="208">
        <v>325</v>
      </c>
      <c r="AG13" s="199">
        <v>331</v>
      </c>
      <c r="AH13" s="432">
        <f t="shared" si="8"/>
        <v>1.8461538461538538</v>
      </c>
      <c r="AI13" s="208">
        <v>1146260080</v>
      </c>
      <c r="AJ13" s="199">
        <v>1111195448</v>
      </c>
      <c r="AK13" s="432">
        <f t="shared" si="9"/>
        <v>-3.0590467740968563</v>
      </c>
    </row>
    <row r="14" spans="1:37" ht="11.25" thickBot="1">
      <c r="A14" s="150"/>
      <c r="B14" s="234" t="s">
        <v>184</v>
      </c>
      <c r="C14" s="68">
        <f>IF('2-1-3 旅客輸送機関分担率推移'!$P$2="YES",'2-1-3 旅客輸送機関分担率推移'!$AB$21/1000,'2-1-3 旅客輸送機関分担率推移'!$AB$17/1000)</f>
        <v>4803.027</v>
      </c>
      <c r="D14" s="68"/>
      <c r="E14" s="68"/>
      <c r="F14" s="68">
        <f>IF('2-1-3 旅客輸送機関分担率推移'!$P$2="YES",'2-1-3 旅客輸送機関分担率推移'!$AZ$21/1000,'2-1-3 旅客輸送機関分担率推移'!$AZ$17/1000)</f>
        <v>26977.823</v>
      </c>
      <c r="G14" s="496">
        <f t="shared" si="0"/>
        <v>5.616837673408873</v>
      </c>
      <c r="H14" s="150"/>
      <c r="I14" s="150"/>
      <c r="J14" s="67" t="s">
        <v>59</v>
      </c>
      <c r="K14" s="420">
        <f>'2-1-3 旅客輸送機関分担率推移'!AB14</f>
        <v>388242</v>
      </c>
      <c r="L14" s="125">
        <f>'2-1-3 旅客輸送機関分担率推移'!AZ14</f>
        <v>2195170</v>
      </c>
      <c r="N14" s="150"/>
      <c r="P14" s="67" t="s">
        <v>59</v>
      </c>
      <c r="Q14" s="200">
        <v>3669020</v>
      </c>
      <c r="R14" s="206">
        <v>3499294</v>
      </c>
      <c r="S14" s="432">
        <f t="shared" si="1"/>
        <v>-4.625921908302487</v>
      </c>
      <c r="T14" s="206">
        <v>3852768</v>
      </c>
      <c r="U14" s="208">
        <v>3695555</v>
      </c>
      <c r="V14" s="433">
        <f t="shared" si="2"/>
        <v>-4.080520809973507</v>
      </c>
      <c r="W14" s="434">
        <f t="shared" si="3"/>
        <v>95.23075357768752</v>
      </c>
      <c r="X14" s="435">
        <f t="shared" si="4"/>
        <v>94.68926859429774</v>
      </c>
      <c r="Y14" s="432">
        <f t="shared" si="5"/>
        <v>-0.5686030647106435</v>
      </c>
      <c r="Z14" s="208">
        <v>309882</v>
      </c>
      <c r="AA14" s="199">
        <v>350789</v>
      </c>
      <c r="AB14" s="432">
        <f t="shared" si="6"/>
        <v>13.200831284166227</v>
      </c>
      <c r="AC14" s="208">
        <v>119</v>
      </c>
      <c r="AD14" s="199">
        <v>119</v>
      </c>
      <c r="AE14" s="432">
        <f t="shared" si="7"/>
        <v>0</v>
      </c>
      <c r="AF14" s="208">
        <v>333</v>
      </c>
      <c r="AG14" s="199">
        <v>329</v>
      </c>
      <c r="AH14" s="432">
        <f t="shared" si="8"/>
        <v>-1.2012012012012008</v>
      </c>
      <c r="AI14" s="208">
        <v>1084036297</v>
      </c>
      <c r="AJ14" s="199">
        <v>1042677002</v>
      </c>
      <c r="AK14" s="432">
        <f t="shared" si="9"/>
        <v>-3.8153053651855657</v>
      </c>
    </row>
    <row r="15" spans="1:37" ht="11.25" thickBot="1">
      <c r="A15" s="150"/>
      <c r="B15" s="156"/>
      <c r="C15" s="157"/>
      <c r="D15" s="157"/>
      <c r="E15" s="157"/>
      <c r="F15" s="157"/>
      <c r="G15" s="158"/>
      <c r="H15" s="150"/>
      <c r="I15" s="150"/>
      <c r="J15" s="67" t="s">
        <v>60</v>
      </c>
      <c r="K15" s="420">
        <f>'2-1-3 旅客輸送機関分担率推移'!AB15</f>
        <v>360301</v>
      </c>
      <c r="L15" s="125">
        <f>'2-1-3 旅客輸送機関分担率推移'!AZ15</f>
        <v>2011046</v>
      </c>
      <c r="M15" s="62"/>
      <c r="N15" s="150"/>
      <c r="P15" s="67" t="s">
        <v>60</v>
      </c>
      <c r="Q15" s="200">
        <v>3164458</v>
      </c>
      <c r="R15" s="206">
        <v>3411904</v>
      </c>
      <c r="S15" s="432">
        <f t="shared" si="1"/>
        <v>7.8195381325964775</v>
      </c>
      <c r="T15" s="206">
        <v>3305211</v>
      </c>
      <c r="U15" s="208">
        <v>3578647</v>
      </c>
      <c r="V15" s="433">
        <f t="shared" si="2"/>
        <v>8.27287577101734</v>
      </c>
      <c r="W15" s="434">
        <f t="shared" si="3"/>
        <v>95.74148216256087</v>
      </c>
      <c r="X15" s="435">
        <f t="shared" si="4"/>
        <v>95.34061336588941</v>
      </c>
      <c r="Y15" s="432">
        <f t="shared" si="5"/>
        <v>-0.4186991757562595</v>
      </c>
      <c r="Z15" s="208">
        <v>308351</v>
      </c>
      <c r="AA15" s="199">
        <v>332769</v>
      </c>
      <c r="AB15" s="432">
        <f t="shared" si="6"/>
        <v>7.918897619920145</v>
      </c>
      <c r="AC15" s="208">
        <v>120</v>
      </c>
      <c r="AD15" s="199">
        <v>123</v>
      </c>
      <c r="AE15" s="432">
        <f t="shared" si="7"/>
        <v>2.499999999999986</v>
      </c>
      <c r="AF15" s="208">
        <v>331</v>
      </c>
      <c r="AG15" s="199">
        <v>333</v>
      </c>
      <c r="AH15" s="432">
        <f t="shared" si="8"/>
        <v>0.604229607250744</v>
      </c>
      <c r="AI15" s="208">
        <v>958908990</v>
      </c>
      <c r="AJ15" s="199">
        <v>1006082531</v>
      </c>
      <c r="AK15" s="432">
        <f t="shared" si="9"/>
        <v>4.9195013804177705</v>
      </c>
    </row>
    <row r="16" spans="1:37" ht="10.5">
      <c r="A16" s="150"/>
      <c r="B16" s="156" t="s">
        <v>90</v>
      </c>
      <c r="C16" s="157"/>
      <c r="D16" s="157"/>
      <c r="E16" s="157"/>
      <c r="F16" s="157"/>
      <c r="G16" s="158"/>
      <c r="H16" s="150"/>
      <c r="I16" s="150"/>
      <c r="J16" s="233" t="s">
        <v>61</v>
      </c>
      <c r="K16" s="421">
        <f>'2-1-3 旅客輸送機関分担率推移'!AB16</f>
        <v>390423</v>
      </c>
      <c r="L16" s="136">
        <f>'2-1-3 旅客輸送機関分担率推移'!AZ16</f>
        <v>2245251</v>
      </c>
      <c r="M16" s="149" t="s">
        <v>6</v>
      </c>
      <c r="N16" s="150"/>
      <c r="P16" s="233" t="s">
        <v>61</v>
      </c>
      <c r="Q16" s="209">
        <v>4024385</v>
      </c>
      <c r="R16" s="207">
        <v>4026201</v>
      </c>
      <c r="S16" s="436">
        <f t="shared" si="1"/>
        <v>0.04512490728396301</v>
      </c>
      <c r="T16" s="207">
        <v>4205419</v>
      </c>
      <c r="U16" s="437">
        <v>4220419</v>
      </c>
      <c r="V16" s="438">
        <f t="shared" si="2"/>
        <v>0.3566826515978505</v>
      </c>
      <c r="W16" s="439">
        <f t="shared" si="3"/>
        <v>95.69522085670893</v>
      </c>
      <c r="X16" s="440">
        <f t="shared" si="4"/>
        <v>95.3981346401862</v>
      </c>
      <c r="Y16" s="436">
        <f t="shared" si="5"/>
        <v>-0.3104504215185102</v>
      </c>
      <c r="Z16" s="437">
        <v>401254</v>
      </c>
      <c r="AA16" s="203">
        <v>426514</v>
      </c>
      <c r="AB16" s="436">
        <f t="shared" si="6"/>
        <v>6.295264346274436</v>
      </c>
      <c r="AC16" s="437">
        <v>122</v>
      </c>
      <c r="AD16" s="203">
        <v>124</v>
      </c>
      <c r="AE16" s="436">
        <f t="shared" si="7"/>
        <v>1.639344262295083</v>
      </c>
      <c r="AF16" s="437">
        <v>330</v>
      </c>
      <c r="AG16" s="203">
        <v>341</v>
      </c>
      <c r="AH16" s="436">
        <f t="shared" si="8"/>
        <v>3.333333333333343</v>
      </c>
      <c r="AI16" s="437">
        <v>1285160543</v>
      </c>
      <c r="AJ16" s="203">
        <v>1324934537</v>
      </c>
      <c r="AK16" s="436">
        <f t="shared" si="9"/>
        <v>3.094865790631431</v>
      </c>
    </row>
    <row r="17" spans="1:37" ht="11.25" thickBot="1">
      <c r="A17" s="150"/>
      <c r="B17" s="150"/>
      <c r="C17" s="150"/>
      <c r="D17" s="150"/>
      <c r="E17" s="150"/>
      <c r="F17" s="150"/>
      <c r="G17" s="150"/>
      <c r="H17" s="150"/>
      <c r="I17" s="150"/>
      <c r="J17" s="234" t="s">
        <v>194</v>
      </c>
      <c r="K17" s="422">
        <f>SUM(K5:K16)</f>
        <v>4803027</v>
      </c>
      <c r="L17" s="139">
        <f>SUM(L5:L16)</f>
        <v>26977823</v>
      </c>
      <c r="M17" s="495">
        <f>L17/K17</f>
        <v>5.616837673408873</v>
      </c>
      <c r="N17" s="150"/>
      <c r="P17" s="234" t="s">
        <v>68</v>
      </c>
      <c r="Q17" s="210">
        <f>SUM(Q5:Q16)</f>
        <v>45165329</v>
      </c>
      <c r="R17" s="441">
        <f>SUM(R5:R16)</f>
        <v>44943309</v>
      </c>
      <c r="S17" s="442">
        <f t="shared" si="1"/>
        <v>-0.49157175407711406</v>
      </c>
      <c r="T17" s="441">
        <f>SUM(T5:T16)</f>
        <v>47379704</v>
      </c>
      <c r="U17" s="443">
        <f>SUM(U5:U16)</f>
        <v>47196948</v>
      </c>
      <c r="V17" s="444">
        <f t="shared" si="2"/>
        <v>-0.3857263439214478</v>
      </c>
      <c r="W17" s="445">
        <f t="shared" si="3"/>
        <v>95.32632158276041</v>
      </c>
      <c r="X17" s="446">
        <f t="shared" si="4"/>
        <v>95.2250323474306</v>
      </c>
      <c r="Y17" s="442">
        <f t="shared" si="5"/>
        <v>-0.10625526470343516</v>
      </c>
      <c r="Z17" s="443">
        <f>SUM(Z5:Z16)</f>
        <v>4033732</v>
      </c>
      <c r="AA17" s="447">
        <f>SUM(AA5:AA16)</f>
        <v>4385618</v>
      </c>
      <c r="AB17" s="442">
        <f t="shared" si="6"/>
        <v>8.72358401599314</v>
      </c>
      <c r="AC17" s="443">
        <f>SUM(AC5:AC16)</f>
        <v>1443</v>
      </c>
      <c r="AD17" s="447">
        <f>SUM(AD5:AD16)</f>
        <v>1441</v>
      </c>
      <c r="AE17" s="442">
        <f t="shared" si="7"/>
        <v>-0.13860013860013964</v>
      </c>
      <c r="AF17" s="443">
        <f>SUM(AF5:AF16)</f>
        <v>3912</v>
      </c>
      <c r="AG17" s="447">
        <f>SUM(AG5:AG16)</f>
        <v>3975</v>
      </c>
      <c r="AH17" s="442">
        <f t="shared" si="8"/>
        <v>1.6104294478527663</v>
      </c>
      <c r="AI17" s="443">
        <f>SUM(AI5:AI16)</f>
        <v>14030623757</v>
      </c>
      <c r="AJ17" s="447">
        <f>SUM(AJ5:AJ16)</f>
        <v>14450272218</v>
      </c>
      <c r="AK17" s="442">
        <f t="shared" si="9"/>
        <v>2.990946577058878</v>
      </c>
    </row>
    <row r="18" spans="1:14" ht="11.25" thickBot="1">
      <c r="A18" s="150"/>
      <c r="B18" s="9"/>
      <c r="C18" s="10" t="s">
        <v>86</v>
      </c>
      <c r="D18" s="10" t="s">
        <v>204</v>
      </c>
      <c r="E18" s="10" t="s">
        <v>205</v>
      </c>
      <c r="F18" s="10" t="s">
        <v>87</v>
      </c>
      <c r="G18" s="8" t="s">
        <v>6</v>
      </c>
      <c r="H18" s="150"/>
      <c r="I18" s="150"/>
      <c r="N18" s="150"/>
    </row>
    <row r="19" spans="1:14" ht="10.5">
      <c r="A19" s="150"/>
      <c r="B19" s="67">
        <v>3</v>
      </c>
      <c r="C19" s="59">
        <f aca="true" t="shared" si="10" ref="C19:C28">C5</f>
        <v>6496.094</v>
      </c>
      <c r="D19" s="59">
        <v>0</v>
      </c>
      <c r="E19" s="59">
        <v>0</v>
      </c>
      <c r="F19" s="59">
        <f>F5</f>
        <v>34693.601</v>
      </c>
      <c r="G19" s="430">
        <f>G5*1000+1500</f>
        <v>6840.686418638647</v>
      </c>
      <c r="H19" s="150"/>
      <c r="I19" s="150"/>
      <c r="J19" s="2" t="s">
        <v>186</v>
      </c>
      <c r="K19" s="129">
        <f>'2-1-3 旅客輸送機関分担率推移'!AB21</f>
        <v>4803027</v>
      </c>
      <c r="L19" s="129">
        <f>'2-1-3 旅客輸送機関分担率推移'!AZ21</f>
        <v>26977823</v>
      </c>
      <c r="M19" s="131">
        <f>L19/K19</f>
        <v>5.616837673408873</v>
      </c>
      <c r="N19" s="150"/>
    </row>
    <row r="20" spans="1:16" ht="11.25" thickBot="1">
      <c r="A20" s="150"/>
      <c r="B20" s="67">
        <v>4</v>
      </c>
      <c r="C20" s="59">
        <f t="shared" si="10"/>
        <v>6358.294</v>
      </c>
      <c r="D20" s="59">
        <v>0</v>
      </c>
      <c r="E20" s="59">
        <v>0</v>
      </c>
      <c r="F20" s="59">
        <f aca="true" t="shared" si="11" ref="F20:F28">F6</f>
        <v>34530.401</v>
      </c>
      <c r="G20" s="430">
        <f aca="true" t="shared" si="12" ref="G20:G28">G6*1000+1500</f>
        <v>6930.765076292478</v>
      </c>
      <c r="H20" s="150"/>
      <c r="I20" s="150"/>
      <c r="K20" s="170">
        <f>K19/1000</f>
        <v>4803.027</v>
      </c>
      <c r="L20" s="170">
        <f>L19/1000</f>
        <v>26977.823</v>
      </c>
      <c r="N20" s="150"/>
      <c r="P20" s="2" t="s">
        <v>91</v>
      </c>
    </row>
    <row r="21" spans="1:25" ht="10.5">
      <c r="A21" s="150"/>
      <c r="B21" s="67">
        <v>5</v>
      </c>
      <c r="C21" s="59">
        <f t="shared" si="10"/>
        <v>6195.844</v>
      </c>
      <c r="D21" s="59">
        <v>0</v>
      </c>
      <c r="E21" s="59">
        <v>0</v>
      </c>
      <c r="F21" s="59">
        <f t="shared" si="11"/>
        <v>33092.138</v>
      </c>
      <c r="G21" s="430">
        <f t="shared" si="12"/>
        <v>6841.02182043318</v>
      </c>
      <c r="H21" s="150"/>
      <c r="I21" s="150"/>
      <c r="J21" s="150"/>
      <c r="K21" s="150"/>
      <c r="L21" s="150"/>
      <c r="M21" s="150"/>
      <c r="N21" s="150"/>
      <c r="P21" s="42"/>
      <c r="Q21" s="274" t="s">
        <v>2</v>
      </c>
      <c r="R21" s="245"/>
      <c r="S21" s="243"/>
      <c r="T21" s="275" t="s">
        <v>3</v>
      </c>
      <c r="U21" s="274"/>
      <c r="V21" s="245"/>
      <c r="W21" s="245"/>
      <c r="X21" s="245"/>
      <c r="Y21" s="243"/>
    </row>
    <row r="22" spans="1:25" ht="11.25" thickBot="1">
      <c r="A22" s="150"/>
      <c r="B22" s="67">
        <v>6</v>
      </c>
      <c r="C22" s="59">
        <f t="shared" si="10"/>
        <v>5938.505</v>
      </c>
      <c r="D22" s="59">
        <v>0</v>
      </c>
      <c r="E22" s="59">
        <v>0</v>
      </c>
      <c r="F22" s="59">
        <f t="shared" si="11"/>
        <v>31883.321</v>
      </c>
      <c r="G22" s="430">
        <f t="shared" si="12"/>
        <v>6868.913724918982</v>
      </c>
      <c r="H22" s="150"/>
      <c r="P22" s="7"/>
      <c r="Q22" s="41" t="s">
        <v>92</v>
      </c>
      <c r="R22" s="41" t="s">
        <v>74</v>
      </c>
      <c r="S22" s="4" t="s">
        <v>75</v>
      </c>
      <c r="T22" s="45" t="s">
        <v>92</v>
      </c>
      <c r="U22" s="278" t="s">
        <v>88</v>
      </c>
      <c r="V22" s="277" t="s">
        <v>74</v>
      </c>
      <c r="W22" s="278" t="s">
        <v>88</v>
      </c>
      <c r="X22" s="41" t="s">
        <v>75</v>
      </c>
      <c r="Y22" s="231" t="s">
        <v>88</v>
      </c>
    </row>
    <row r="23" spans="1:25" ht="10.5">
      <c r="A23" s="150"/>
      <c r="B23" s="67">
        <v>7</v>
      </c>
      <c r="C23" s="59">
        <f t="shared" si="10"/>
        <v>5756.231</v>
      </c>
      <c r="D23" s="59">
        <v>0</v>
      </c>
      <c r="E23" s="59">
        <v>0</v>
      </c>
      <c r="F23" s="59">
        <f t="shared" si="11"/>
        <v>30634.89</v>
      </c>
      <c r="G23" s="430">
        <f t="shared" si="12"/>
        <v>6822.03971661318</v>
      </c>
      <c r="H23" s="150"/>
      <c r="P23" s="300" t="s">
        <v>50</v>
      </c>
      <c r="Q23" s="309">
        <f aca="true" t="shared" si="13" ref="Q23:Q34">SUM(R23:S23)</f>
        <v>503174</v>
      </c>
      <c r="R23" s="309">
        <v>146832</v>
      </c>
      <c r="S23" s="320">
        <v>356342</v>
      </c>
      <c r="T23" s="321">
        <f aca="true" t="shared" si="14" ref="T23:T34">SUM(V23,X23)</f>
        <v>482310</v>
      </c>
      <c r="U23" s="310">
        <f aca="true" t="shared" si="15" ref="U23:U35">T23/Q23*100-100</f>
        <v>-4.146478156661516</v>
      </c>
      <c r="V23" s="309">
        <v>138627</v>
      </c>
      <c r="W23" s="310">
        <f aca="true" t="shared" si="16" ref="W23:W35">V23/R23*100-100</f>
        <v>-5.588018960444586</v>
      </c>
      <c r="X23" s="322">
        <v>343683</v>
      </c>
      <c r="Y23" s="323">
        <f aca="true" t="shared" si="17" ref="Y23:Y35">X23/S23*100-100</f>
        <v>-3.5524860948190167</v>
      </c>
    </row>
    <row r="24" spans="1:25" ht="10.5">
      <c r="A24" s="150"/>
      <c r="B24" s="67">
        <v>8</v>
      </c>
      <c r="C24" s="59">
        <f t="shared" si="10"/>
        <v>5599.617</v>
      </c>
      <c r="D24" s="59">
        <v>0</v>
      </c>
      <c r="E24" s="59">
        <v>0</v>
      </c>
      <c r="F24" s="59">
        <f t="shared" si="11"/>
        <v>29342.543</v>
      </c>
      <c r="G24" s="430">
        <f t="shared" si="12"/>
        <v>6740.098206716638</v>
      </c>
      <c r="H24" s="150"/>
      <c r="P24" s="300" t="s">
        <v>51</v>
      </c>
      <c r="Q24" s="309">
        <f t="shared" si="13"/>
        <v>481308</v>
      </c>
      <c r="R24" s="309">
        <v>134272</v>
      </c>
      <c r="S24" s="320">
        <v>347036</v>
      </c>
      <c r="T24" s="321">
        <f t="shared" si="14"/>
        <v>470743</v>
      </c>
      <c r="U24" s="310">
        <f t="shared" si="15"/>
        <v>-2.1950601278183655</v>
      </c>
      <c r="V24" s="309">
        <v>129914</v>
      </c>
      <c r="W24" s="310">
        <f t="shared" si="16"/>
        <v>-3.2456506196377575</v>
      </c>
      <c r="X24" s="309">
        <v>340829</v>
      </c>
      <c r="Y24" s="308">
        <f t="shared" si="17"/>
        <v>-1.7885752486773754</v>
      </c>
    </row>
    <row r="25" spans="1:25" ht="10.5">
      <c r="A25" s="150"/>
      <c r="B25" s="67">
        <v>9</v>
      </c>
      <c r="C25" s="59">
        <f t="shared" si="10"/>
        <v>5399.848</v>
      </c>
      <c r="D25" s="59">
        <v>0</v>
      </c>
      <c r="E25" s="59">
        <v>0</v>
      </c>
      <c r="F25" s="59">
        <f t="shared" si="11"/>
        <v>28285.232</v>
      </c>
      <c r="G25" s="430">
        <f t="shared" si="12"/>
        <v>6738.153370243014</v>
      </c>
      <c r="H25" s="150"/>
      <c r="P25" s="300" t="s">
        <v>52</v>
      </c>
      <c r="Q25" s="309">
        <f t="shared" si="13"/>
        <v>480268</v>
      </c>
      <c r="R25" s="309">
        <v>132540</v>
      </c>
      <c r="S25" s="320">
        <v>347728</v>
      </c>
      <c r="T25" s="321">
        <f t="shared" si="14"/>
        <v>458660</v>
      </c>
      <c r="U25" s="310">
        <f t="shared" si="15"/>
        <v>-4.499154638660087</v>
      </c>
      <c r="V25" s="309">
        <v>124832</v>
      </c>
      <c r="W25" s="310">
        <f t="shared" si="16"/>
        <v>-5.815602836879435</v>
      </c>
      <c r="X25" s="309">
        <v>333828</v>
      </c>
      <c r="Y25" s="308">
        <f t="shared" si="17"/>
        <v>-3.997377260387424</v>
      </c>
    </row>
    <row r="26" spans="1:25" ht="10.5">
      <c r="A26" s="150"/>
      <c r="B26" s="67">
        <v>10</v>
      </c>
      <c r="C26" s="59">
        <f t="shared" si="10"/>
        <v>5171.516</v>
      </c>
      <c r="D26" s="59">
        <v>0</v>
      </c>
      <c r="E26" s="59">
        <v>0</v>
      </c>
      <c r="F26" s="59">
        <f t="shared" si="11"/>
        <v>28119.067</v>
      </c>
      <c r="G26" s="430">
        <f t="shared" si="12"/>
        <v>6937.296723049876</v>
      </c>
      <c r="H26" s="150"/>
      <c r="P26" s="300" t="s">
        <v>53</v>
      </c>
      <c r="Q26" s="309">
        <f t="shared" si="13"/>
        <v>481084</v>
      </c>
      <c r="R26" s="309">
        <v>113183</v>
      </c>
      <c r="S26" s="320">
        <v>367901</v>
      </c>
      <c r="T26" s="321">
        <f t="shared" si="14"/>
        <v>461678</v>
      </c>
      <c r="U26" s="310">
        <f t="shared" si="15"/>
        <v>-4.033806985890195</v>
      </c>
      <c r="V26" s="309">
        <v>109459</v>
      </c>
      <c r="W26" s="310">
        <f t="shared" si="16"/>
        <v>-3.290246768507643</v>
      </c>
      <c r="X26" s="309">
        <v>352219</v>
      </c>
      <c r="Y26" s="308">
        <f t="shared" si="17"/>
        <v>-4.262559764719313</v>
      </c>
    </row>
    <row r="27" spans="1:25" ht="10.5">
      <c r="A27" s="150"/>
      <c r="B27" s="67">
        <v>11</v>
      </c>
      <c r="C27" s="59">
        <f t="shared" si="10"/>
        <v>4937.13</v>
      </c>
      <c r="D27" s="59">
        <v>0</v>
      </c>
      <c r="E27" s="59">
        <v>0</v>
      </c>
      <c r="F27" s="59">
        <f t="shared" si="11"/>
        <v>26557.152</v>
      </c>
      <c r="G27" s="430">
        <f t="shared" si="12"/>
        <v>6879.066785764198</v>
      </c>
      <c r="H27" s="150"/>
      <c r="P27" s="300" t="s">
        <v>54</v>
      </c>
      <c r="Q27" s="309">
        <f t="shared" si="13"/>
        <v>446467</v>
      </c>
      <c r="R27" s="309">
        <v>101857</v>
      </c>
      <c r="S27" s="320">
        <v>344610</v>
      </c>
      <c r="T27" s="321">
        <f t="shared" si="14"/>
        <v>434452</v>
      </c>
      <c r="U27" s="310">
        <f t="shared" si="15"/>
        <v>-2.6911283476718353</v>
      </c>
      <c r="V27" s="309">
        <v>103005</v>
      </c>
      <c r="W27" s="310">
        <f t="shared" si="16"/>
        <v>1.127070304446434</v>
      </c>
      <c r="X27" s="309">
        <v>331447</v>
      </c>
      <c r="Y27" s="308">
        <f t="shared" si="17"/>
        <v>-3.819680218217698</v>
      </c>
    </row>
    <row r="28" spans="1:25" ht="11.25" thickBot="1">
      <c r="A28" s="150"/>
      <c r="B28" s="65">
        <v>12</v>
      </c>
      <c r="C28" s="68">
        <f t="shared" si="10"/>
        <v>4803.027</v>
      </c>
      <c r="D28" s="68">
        <v>0</v>
      </c>
      <c r="E28" s="68">
        <v>0</v>
      </c>
      <c r="F28" s="68">
        <f t="shared" si="11"/>
        <v>26977.823</v>
      </c>
      <c r="G28" s="496">
        <f t="shared" si="12"/>
        <v>7116.837673408873</v>
      </c>
      <c r="H28" s="150"/>
      <c r="P28" s="300" t="s">
        <v>55</v>
      </c>
      <c r="Q28" s="309">
        <f t="shared" si="13"/>
        <v>473386</v>
      </c>
      <c r="R28" s="309">
        <v>129174</v>
      </c>
      <c r="S28" s="320">
        <v>344212</v>
      </c>
      <c r="T28" s="321">
        <f t="shared" si="14"/>
        <v>457317</v>
      </c>
      <c r="U28" s="310">
        <f t="shared" si="15"/>
        <v>-3.3944814591052648</v>
      </c>
      <c r="V28" s="309">
        <v>126421</v>
      </c>
      <c r="W28" s="310">
        <f t="shared" si="16"/>
        <v>-2.1312338396271713</v>
      </c>
      <c r="X28" s="309">
        <v>330896</v>
      </c>
      <c r="Y28" s="308">
        <f t="shared" si="17"/>
        <v>-3.8685461285486866</v>
      </c>
    </row>
    <row r="29" spans="1:25" ht="10.5">
      <c r="A29" s="150"/>
      <c r="B29" s="150"/>
      <c r="C29" s="150"/>
      <c r="D29" s="150"/>
      <c r="E29" s="150"/>
      <c r="F29" s="150"/>
      <c r="G29" s="150"/>
      <c r="H29" s="150"/>
      <c r="P29" s="300" t="s">
        <v>56</v>
      </c>
      <c r="Q29" s="309">
        <f t="shared" si="13"/>
        <v>481263</v>
      </c>
      <c r="R29" s="309">
        <v>127494</v>
      </c>
      <c r="S29" s="320">
        <v>353769</v>
      </c>
      <c r="T29" s="321">
        <f t="shared" si="14"/>
        <v>459807</v>
      </c>
      <c r="U29" s="310">
        <f t="shared" si="15"/>
        <v>-4.458269179222171</v>
      </c>
      <c r="V29" s="309">
        <v>120979</v>
      </c>
      <c r="W29" s="310">
        <f t="shared" si="16"/>
        <v>-5.110044394246003</v>
      </c>
      <c r="X29" s="309">
        <v>338828</v>
      </c>
      <c r="Y29" s="308">
        <f t="shared" si="17"/>
        <v>-4.223377401637791</v>
      </c>
    </row>
    <row r="30" spans="16:25" ht="10.5">
      <c r="P30" s="300" t="s">
        <v>57</v>
      </c>
      <c r="Q30" s="309">
        <f t="shared" si="13"/>
        <v>469479</v>
      </c>
      <c r="R30" s="309">
        <v>125825</v>
      </c>
      <c r="S30" s="320">
        <v>343654</v>
      </c>
      <c r="T30" s="321">
        <f t="shared" si="14"/>
        <v>441515</v>
      </c>
      <c r="U30" s="310">
        <f t="shared" si="15"/>
        <v>-5.956389955674268</v>
      </c>
      <c r="V30" s="309">
        <v>118695</v>
      </c>
      <c r="W30" s="310">
        <f t="shared" si="16"/>
        <v>-5.666600437115051</v>
      </c>
      <c r="X30" s="309">
        <v>322820</v>
      </c>
      <c r="Y30" s="308">
        <f t="shared" si="17"/>
        <v>-6.062493088979025</v>
      </c>
    </row>
    <row r="31" spans="16:25" ht="10.5">
      <c r="P31" s="300" t="s">
        <v>58</v>
      </c>
      <c r="Q31" s="309">
        <f t="shared" si="13"/>
        <v>448627</v>
      </c>
      <c r="R31" s="309">
        <v>103202</v>
      </c>
      <c r="S31" s="320">
        <v>345425</v>
      </c>
      <c r="T31" s="321">
        <f t="shared" si="14"/>
        <v>432754</v>
      </c>
      <c r="U31" s="310">
        <f t="shared" si="15"/>
        <v>-3.538128556685166</v>
      </c>
      <c r="V31" s="309">
        <v>97739</v>
      </c>
      <c r="W31" s="310">
        <f t="shared" si="16"/>
        <v>-5.293502063913493</v>
      </c>
      <c r="X31" s="309">
        <v>335015</v>
      </c>
      <c r="Y31" s="308">
        <f t="shared" si="17"/>
        <v>-3.013678801476445</v>
      </c>
    </row>
    <row r="32" spans="16:25" ht="10.5">
      <c r="P32" s="300" t="s">
        <v>59</v>
      </c>
      <c r="Q32" s="309">
        <f t="shared" si="13"/>
        <v>451601</v>
      </c>
      <c r="R32" s="309">
        <v>122470</v>
      </c>
      <c r="S32" s="320">
        <v>329131</v>
      </c>
      <c r="T32" s="321">
        <f t="shared" si="14"/>
        <v>0</v>
      </c>
      <c r="U32" s="310">
        <f t="shared" si="15"/>
        <v>-100</v>
      </c>
      <c r="V32" s="309"/>
      <c r="W32" s="310">
        <f t="shared" si="16"/>
        <v>-100</v>
      </c>
      <c r="X32" s="309"/>
      <c r="Y32" s="308">
        <f t="shared" si="17"/>
        <v>-100</v>
      </c>
    </row>
    <row r="33" spans="16:25" ht="10.5">
      <c r="P33" s="300" t="s">
        <v>60</v>
      </c>
      <c r="Q33" s="309">
        <f t="shared" si="13"/>
        <v>415679</v>
      </c>
      <c r="R33" s="309">
        <v>104593</v>
      </c>
      <c r="S33" s="320">
        <v>311086</v>
      </c>
      <c r="T33" s="321">
        <f t="shared" si="14"/>
        <v>0</v>
      </c>
      <c r="U33" s="310">
        <f t="shared" si="15"/>
        <v>-100</v>
      </c>
      <c r="V33" s="309"/>
      <c r="W33" s="310">
        <f t="shared" si="16"/>
        <v>-100</v>
      </c>
      <c r="X33" s="309"/>
      <c r="Y33" s="308">
        <f t="shared" si="17"/>
        <v>-100</v>
      </c>
    </row>
    <row r="34" spans="16:25" ht="10.5">
      <c r="P34" s="302" t="s">
        <v>61</v>
      </c>
      <c r="Q34" s="313">
        <f t="shared" si="13"/>
        <v>467281</v>
      </c>
      <c r="R34" s="313">
        <v>108918</v>
      </c>
      <c r="S34" s="324">
        <v>358363</v>
      </c>
      <c r="T34" s="325">
        <f t="shared" si="14"/>
        <v>0</v>
      </c>
      <c r="U34" s="314">
        <f t="shared" si="15"/>
        <v>-100</v>
      </c>
      <c r="V34" s="313"/>
      <c r="W34" s="314">
        <f t="shared" si="16"/>
        <v>-100</v>
      </c>
      <c r="X34" s="313"/>
      <c r="Y34" s="312">
        <f t="shared" si="17"/>
        <v>-100</v>
      </c>
    </row>
    <row r="35" spans="16:25" ht="11.25" thickBot="1">
      <c r="P35" s="301" t="s">
        <v>68</v>
      </c>
      <c r="Q35" s="317">
        <f>SUM(Q23:Q34)</f>
        <v>5599617</v>
      </c>
      <c r="R35" s="317">
        <f>SUM(R23:R34)</f>
        <v>1450360</v>
      </c>
      <c r="S35" s="326">
        <f>SUM(S23:S34)</f>
        <v>4149257</v>
      </c>
      <c r="T35" s="327">
        <f>SUM(T23:T34)</f>
        <v>4099236</v>
      </c>
      <c r="U35" s="318">
        <f t="shared" si="15"/>
        <v>-26.794350399321957</v>
      </c>
      <c r="V35" s="317">
        <f>SUM(V23:V34)</f>
        <v>1069671</v>
      </c>
      <c r="W35" s="318">
        <f t="shared" si="16"/>
        <v>-26.247897073829947</v>
      </c>
      <c r="X35" s="317">
        <f>SUM(X23:X34)</f>
        <v>3029565</v>
      </c>
      <c r="Y35" s="316">
        <f t="shared" si="17"/>
        <v>-26.985361475560566</v>
      </c>
    </row>
    <row r="36" ht="10.5"/>
    <row r="37" ht="10.5"/>
    <row r="38" spans="16:23" ht="10.5">
      <c r="P38" s="120"/>
      <c r="Q38" s="40"/>
      <c r="R38" s="40"/>
      <c r="S38" s="40"/>
      <c r="T38" s="40"/>
      <c r="U38" s="40"/>
      <c r="V38" s="40"/>
      <c r="W38" s="40"/>
    </row>
    <row r="39" spans="16:23" ht="10.5">
      <c r="P39" s="40"/>
      <c r="Q39" s="276"/>
      <c r="R39" s="40"/>
      <c r="S39" s="40"/>
      <c r="T39" s="276"/>
      <c r="U39" s="40"/>
      <c r="V39" s="40"/>
      <c r="W39" s="40"/>
    </row>
    <row r="40" spans="16:23" ht="10.5">
      <c r="P40" s="40"/>
      <c r="Q40" s="40"/>
      <c r="R40" s="40"/>
      <c r="S40" s="40"/>
      <c r="T40" s="40"/>
      <c r="U40" s="40"/>
      <c r="V40" s="40"/>
      <c r="W40" s="120"/>
    </row>
    <row r="41" spans="16:23" ht="10.5">
      <c r="P41" s="40"/>
      <c r="Q41" s="40"/>
      <c r="R41" s="40"/>
      <c r="S41" s="40"/>
      <c r="T41" s="40"/>
      <c r="U41" s="40"/>
      <c r="V41" s="40"/>
      <c r="W41" s="40"/>
    </row>
    <row r="42" spans="16:23" ht="10.5">
      <c r="P42" s="40"/>
      <c r="Q42" s="40"/>
      <c r="R42" s="40"/>
      <c r="S42" s="40"/>
      <c r="T42" s="40"/>
      <c r="U42" s="40"/>
      <c r="V42" s="40"/>
      <c r="W42" s="40"/>
    </row>
    <row r="43" spans="16:23" ht="10.5">
      <c r="P43" s="40"/>
      <c r="Q43" s="40"/>
      <c r="R43" s="40"/>
      <c r="S43" s="40"/>
      <c r="T43" s="40"/>
      <c r="U43" s="40"/>
      <c r="V43" s="40"/>
      <c r="W43" s="40"/>
    </row>
    <row r="44" spans="16:23" ht="10.5">
      <c r="P44" s="40"/>
      <c r="Q44" s="40"/>
      <c r="R44" s="40"/>
      <c r="S44" s="40"/>
      <c r="T44" s="40"/>
      <c r="U44" s="40"/>
      <c r="V44" s="40"/>
      <c r="W44" s="40"/>
    </row>
    <row r="45" spans="16:23" ht="10.5">
      <c r="P45" s="40"/>
      <c r="Q45" s="40"/>
      <c r="R45" s="40"/>
      <c r="S45" s="40"/>
      <c r="T45" s="40"/>
      <c r="U45" s="40"/>
      <c r="V45" s="40"/>
      <c r="W45" s="40"/>
    </row>
    <row r="46" spans="16:23" ht="10.5">
      <c r="P46" s="40"/>
      <c r="Q46" s="40"/>
      <c r="R46" s="40"/>
      <c r="S46" s="40"/>
      <c r="T46" s="40"/>
      <c r="U46" s="40"/>
      <c r="V46" s="40"/>
      <c r="W46" s="40"/>
    </row>
    <row r="47" spans="16:23" ht="10.5">
      <c r="P47" s="40"/>
      <c r="Q47" s="40"/>
      <c r="R47" s="40"/>
      <c r="S47" s="40"/>
      <c r="T47" s="40"/>
      <c r="U47" s="40"/>
      <c r="V47" s="40"/>
      <c r="W47" s="40"/>
    </row>
    <row r="48" spans="16:23" ht="10.5">
      <c r="P48" s="40"/>
      <c r="Q48" s="40"/>
      <c r="R48" s="40"/>
      <c r="S48" s="40"/>
      <c r="T48" s="40"/>
      <c r="U48" s="40"/>
      <c r="V48" s="40"/>
      <c r="W48" s="40"/>
    </row>
    <row r="49" spans="16:23" ht="10.5">
      <c r="P49" s="40"/>
      <c r="Q49" s="40"/>
      <c r="R49" s="40"/>
      <c r="S49" s="40"/>
      <c r="T49" s="40"/>
      <c r="U49" s="40"/>
      <c r="V49" s="40"/>
      <c r="W49" s="40"/>
    </row>
    <row r="50" spans="16:23" ht="10.5">
      <c r="P50" s="40"/>
      <c r="Q50" s="40"/>
      <c r="R50" s="40"/>
      <c r="S50" s="40"/>
      <c r="T50" s="40"/>
      <c r="U50" s="40"/>
      <c r="V50" s="40"/>
      <c r="W50" s="40"/>
    </row>
    <row r="51" spans="16:23" ht="10.5">
      <c r="P51" s="40"/>
      <c r="Q51" s="40"/>
      <c r="R51" s="40"/>
      <c r="S51" s="40"/>
      <c r="T51" s="40"/>
      <c r="U51" s="40"/>
      <c r="V51" s="40"/>
      <c r="W51" s="40"/>
    </row>
    <row r="52" spans="16:23" ht="10.5">
      <c r="P52" s="40"/>
      <c r="Q52" s="40"/>
      <c r="R52" s="40"/>
      <c r="S52" s="40"/>
      <c r="T52" s="40"/>
      <c r="U52" s="40"/>
      <c r="V52" s="40"/>
      <c r="W52" s="40"/>
    </row>
    <row r="53" spans="16:23" ht="10.5">
      <c r="P53" s="120"/>
      <c r="Q53" s="40"/>
      <c r="R53" s="40"/>
      <c r="S53" s="40"/>
      <c r="T53" s="40"/>
      <c r="U53" s="40"/>
      <c r="V53" s="40"/>
      <c r="W53" s="40"/>
    </row>
  </sheetData>
  <printOptions/>
  <pageMargins left="0.4330708661417323" right="0.4330708661417323" top="0.984251968503937" bottom="0.984251968503937" header="0.5118110236220472" footer="0.5118110236220472"/>
  <pageSetup horizontalDpi="400" verticalDpi="400" orientation="portrait" paperSize="9" scale="120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B20">
      <selection activeCell="D18" sqref="D18:E18"/>
    </sheetView>
  </sheetViews>
  <sheetFormatPr defaultColWidth="9.00390625" defaultRowHeight="13.5"/>
  <cols>
    <col min="1" max="16384" width="9.00390625" style="1" customWidth="1"/>
  </cols>
  <sheetData>
    <row r="1" spans="3:13" ht="13.5">
      <c r="C1" s="2" t="s">
        <v>201</v>
      </c>
      <c r="D1" s="2"/>
      <c r="E1" s="2"/>
      <c r="J1"/>
      <c r="K1"/>
      <c r="L1"/>
      <c r="M1"/>
    </row>
    <row r="2" ht="10.5">
      <c r="J2" s="2" t="s">
        <v>202</v>
      </c>
    </row>
    <row r="3" spans="1:14" ht="11.2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1.25" thickBot="1">
      <c r="A4" s="150"/>
      <c r="B4" s="9"/>
      <c r="C4" s="10" t="s">
        <v>86</v>
      </c>
      <c r="D4" s="10"/>
      <c r="E4" s="10"/>
      <c r="F4" s="10" t="s">
        <v>87</v>
      </c>
      <c r="G4" s="8" t="s">
        <v>6</v>
      </c>
      <c r="H4" s="150"/>
      <c r="I4" s="150"/>
      <c r="J4" s="9"/>
      <c r="K4" s="10" t="s">
        <v>38</v>
      </c>
      <c r="L4" s="8" t="s">
        <v>39</v>
      </c>
      <c r="N4" s="150"/>
    </row>
    <row r="5" spans="1:14" ht="10.5">
      <c r="A5" s="150"/>
      <c r="B5" s="67" t="s">
        <v>71</v>
      </c>
      <c r="C5" s="59">
        <v>252.781</v>
      </c>
      <c r="D5" s="59"/>
      <c r="E5" s="59"/>
      <c r="F5" s="59">
        <v>42167.312</v>
      </c>
      <c r="G5" s="430">
        <f aca="true" t="shared" si="0" ref="G5:G14">F5/C5</f>
        <v>166.81361336492853</v>
      </c>
      <c r="H5" s="150"/>
      <c r="I5" s="150"/>
      <c r="J5" s="67" t="s">
        <v>50</v>
      </c>
      <c r="K5" s="420">
        <f>'2-1-3 旅客輸送機関分担率推移'!AC5</f>
        <v>19825</v>
      </c>
      <c r="L5" s="125">
        <f>'2-1-3 旅客輸送機関分担率推移'!BA5</f>
        <v>3406516</v>
      </c>
      <c r="N5" s="150"/>
    </row>
    <row r="6" spans="1:14" ht="10.5">
      <c r="A6" s="150"/>
      <c r="B6" s="67" t="s">
        <v>72</v>
      </c>
      <c r="C6" s="59">
        <v>249.049</v>
      </c>
      <c r="D6" s="59"/>
      <c r="E6" s="59"/>
      <c r="F6" s="59">
        <v>43033.956</v>
      </c>
      <c r="G6" s="430">
        <f t="shared" si="0"/>
        <v>172.79312906295547</v>
      </c>
      <c r="H6" s="150"/>
      <c r="I6" s="150"/>
      <c r="J6" s="67" t="s">
        <v>51</v>
      </c>
      <c r="K6" s="420">
        <f>'2-1-3 旅客輸送機関分担率推移'!AC6</f>
        <v>25059</v>
      </c>
      <c r="L6" s="125">
        <f>'2-1-3 旅客輸送機関分担率推移'!BA6</f>
        <v>3912493</v>
      </c>
      <c r="N6" s="150"/>
    </row>
    <row r="7" spans="1:14" ht="10.5">
      <c r="A7" s="150"/>
      <c r="B7" s="67" t="s">
        <v>69</v>
      </c>
      <c r="C7" s="59">
        <v>247.655</v>
      </c>
      <c r="D7" s="59"/>
      <c r="E7" s="59"/>
      <c r="F7" s="59">
        <v>43076.529</v>
      </c>
      <c r="G7" s="430">
        <f t="shared" si="0"/>
        <v>173.93765116795544</v>
      </c>
      <c r="H7" s="150"/>
      <c r="I7" s="150"/>
      <c r="J7" s="67" t="s">
        <v>52</v>
      </c>
      <c r="K7" s="420">
        <f>'2-1-3 旅客輸送機関分担率推移'!AC7</f>
        <v>23760</v>
      </c>
      <c r="L7" s="125">
        <f>'2-1-3 旅客輸送機関分担率推移'!BA7</f>
        <v>3973742</v>
      </c>
      <c r="N7" s="150"/>
    </row>
    <row r="8" spans="1:14" ht="10.5">
      <c r="A8" s="150"/>
      <c r="B8" s="67" t="s">
        <v>70</v>
      </c>
      <c r="C8" s="59">
        <v>248.12</v>
      </c>
      <c r="D8" s="59"/>
      <c r="E8" s="59"/>
      <c r="F8" s="59">
        <v>42883.321</v>
      </c>
      <c r="G8" s="430">
        <f t="shared" si="0"/>
        <v>172.8329880702886</v>
      </c>
      <c r="H8" s="150"/>
      <c r="I8" s="150"/>
      <c r="J8" s="67" t="s">
        <v>53</v>
      </c>
      <c r="K8" s="420">
        <f>'2-1-3 旅客輸送機関分担率推移'!AC8</f>
        <v>22430</v>
      </c>
      <c r="L8" s="125">
        <f>'2-1-3 旅客輸送機関分担率推移'!BA8</f>
        <v>3826310</v>
      </c>
      <c r="N8" s="150"/>
    </row>
    <row r="9" spans="1:14" ht="10.5">
      <c r="A9" s="150"/>
      <c r="B9" s="67" t="s">
        <v>1</v>
      </c>
      <c r="C9" s="59">
        <v>248.941</v>
      </c>
      <c r="D9" s="59"/>
      <c r="E9" s="59"/>
      <c r="F9" s="59">
        <v>43275.585</v>
      </c>
      <c r="G9" s="430">
        <f t="shared" si="0"/>
        <v>173.83872082139945</v>
      </c>
      <c r="H9" s="150"/>
      <c r="I9" s="150"/>
      <c r="J9" s="67" t="s">
        <v>54</v>
      </c>
      <c r="K9" s="420">
        <f>'2-1-3 旅客輸送機関分担率推移'!AC9</f>
        <v>18817</v>
      </c>
      <c r="L9" s="125">
        <f>'2-1-3 旅客輸送機関分担率推移'!BA9</f>
        <v>3347555</v>
      </c>
      <c r="N9" s="150"/>
    </row>
    <row r="10" spans="1:14" ht="10.5">
      <c r="A10" s="150"/>
      <c r="B10" s="67" t="s">
        <v>2</v>
      </c>
      <c r="C10" s="59">
        <v>247.835</v>
      </c>
      <c r="D10" s="59"/>
      <c r="E10" s="59"/>
      <c r="F10" s="59">
        <v>43034.633</v>
      </c>
      <c r="G10" s="430">
        <f t="shared" si="0"/>
        <v>173.64227409365103</v>
      </c>
      <c r="H10" s="150"/>
      <c r="I10" s="150"/>
      <c r="J10" s="67" t="s">
        <v>55</v>
      </c>
      <c r="K10" s="420">
        <f>'2-1-3 旅客輸送機関分担率推移'!AC10</f>
        <v>21029</v>
      </c>
      <c r="L10" s="125">
        <f>'2-1-3 旅客輸送機関分担率推移'!BA10</f>
        <v>3591115</v>
      </c>
      <c r="N10" s="150"/>
    </row>
    <row r="11" spans="1:14" ht="10.5">
      <c r="A11" s="150"/>
      <c r="B11" s="67" t="s">
        <v>3</v>
      </c>
      <c r="C11" s="59">
        <v>247.384</v>
      </c>
      <c r="D11" s="59"/>
      <c r="E11" s="59"/>
      <c r="F11" s="59">
        <v>42811.686</v>
      </c>
      <c r="G11" s="430">
        <f t="shared" si="0"/>
        <v>173.0576189244252</v>
      </c>
      <c r="H11" s="150"/>
      <c r="I11" s="150"/>
      <c r="J11" s="67" t="s">
        <v>56</v>
      </c>
      <c r="K11" s="420">
        <f>'2-1-3 旅客輸送機関分担率推移'!AC11</f>
        <v>27663</v>
      </c>
      <c r="L11" s="125">
        <f>'2-1-3 旅客輸送機関分担率推移'!BA11</f>
        <v>4800063</v>
      </c>
      <c r="N11" s="150"/>
    </row>
    <row r="12" spans="1:14" ht="10.5">
      <c r="A12" s="150"/>
      <c r="B12" s="67" t="s">
        <v>10</v>
      </c>
      <c r="C12" s="59">
        <v>247.861</v>
      </c>
      <c r="D12" s="59"/>
      <c r="E12" s="59"/>
      <c r="F12" s="59">
        <v>42504.999</v>
      </c>
      <c r="G12" s="430">
        <f t="shared" si="0"/>
        <v>171.48724083256343</v>
      </c>
      <c r="H12" s="150"/>
      <c r="I12" s="150"/>
      <c r="J12" s="67" t="s">
        <v>57</v>
      </c>
      <c r="K12" s="420">
        <f>'2-1-3 旅客輸送機関分担率推移'!AC12</f>
        <v>25038</v>
      </c>
      <c r="L12" s="125">
        <f>'2-1-3 旅客輸送機関分担率推移'!BA12</f>
        <v>4700789</v>
      </c>
      <c r="N12" s="150"/>
    </row>
    <row r="13" spans="1:14" ht="10.5">
      <c r="A13" s="150"/>
      <c r="B13" s="67" t="s">
        <v>11</v>
      </c>
      <c r="C13" s="59">
        <f>'2-1-3 旅客輸送機関分担率推移'!AC38/1000</f>
        <v>251.614</v>
      </c>
      <c r="D13" s="59"/>
      <c r="E13" s="59"/>
      <c r="F13" s="59">
        <f>'2-1-3 旅客輸送機関分担率推移'!BA38/1000</f>
        <v>42836.939</v>
      </c>
      <c r="G13" s="430">
        <f t="shared" si="0"/>
        <v>170.24863083930146</v>
      </c>
      <c r="H13" s="150"/>
      <c r="I13" s="150"/>
      <c r="J13" s="67" t="s">
        <v>58</v>
      </c>
      <c r="K13" s="420">
        <f>'2-1-3 旅客輸送機関分担率推移'!AC13</f>
        <v>16448</v>
      </c>
      <c r="L13" s="125">
        <f>'2-1-3 旅客輸送機関分担率推移'!BA13</f>
        <v>2297809</v>
      </c>
      <c r="N13" s="150"/>
    </row>
    <row r="14" spans="1:14" ht="11.25" thickBot="1">
      <c r="A14" s="150"/>
      <c r="B14" s="234" t="s">
        <v>198</v>
      </c>
      <c r="C14" s="68">
        <f>IF('2-1-3 旅客輸送機関分担率推移'!$P$2="YES",'2-1-3 旅客輸送機関分担率推移'!$AC$21/1000,'2-1-3 旅客輸送機関分担率推移'!$AC$17/1000)</f>
        <v>254.711</v>
      </c>
      <c r="D14" s="68"/>
      <c r="E14" s="68"/>
      <c r="F14" s="68">
        <f>IF('2-1-3 旅客輸送機関分担率推移'!$P$2="YES",'2-1-3 旅客輸送機関分担率推移'!$BA$21/1000,'2-1-3 旅客輸送機関分担率推移'!$BA$17/1000)</f>
        <v>42549.644</v>
      </c>
      <c r="G14" s="496">
        <f t="shared" si="0"/>
        <v>167.05067311580575</v>
      </c>
      <c r="H14" s="150"/>
      <c r="I14" s="150"/>
      <c r="J14" s="67" t="s">
        <v>59</v>
      </c>
      <c r="K14" s="420">
        <f>'2-1-3 旅客輸送機関分担率推移'!AC14</f>
        <v>16862</v>
      </c>
      <c r="L14" s="125">
        <f>'2-1-3 旅客輸送機関分担率推移'!BA14</f>
        <v>2456997</v>
      </c>
      <c r="N14" s="150"/>
    </row>
    <row r="15" spans="1:14" ht="11.25" thickBot="1">
      <c r="A15" s="150"/>
      <c r="B15" s="156"/>
      <c r="C15" s="157"/>
      <c r="D15" s="157"/>
      <c r="E15" s="157"/>
      <c r="F15" s="157"/>
      <c r="G15" s="158"/>
      <c r="H15" s="150"/>
      <c r="I15" s="150"/>
      <c r="J15" s="67" t="s">
        <v>60</v>
      </c>
      <c r="K15" s="420">
        <f>'2-1-3 旅客輸送機関分担率推移'!AC15</f>
        <v>19091</v>
      </c>
      <c r="L15" s="125">
        <f>'2-1-3 旅客輸送機関分担率推移'!BA15</f>
        <v>3082215</v>
      </c>
      <c r="M15" s="62"/>
      <c r="N15" s="150"/>
    </row>
    <row r="16" spans="1:14" ht="10.5">
      <c r="A16" s="150"/>
      <c r="B16" s="156" t="s">
        <v>90</v>
      </c>
      <c r="C16" s="157"/>
      <c r="D16" s="157"/>
      <c r="E16" s="157"/>
      <c r="F16" s="157"/>
      <c r="G16" s="158"/>
      <c r="H16" s="150"/>
      <c r="I16" s="150"/>
      <c r="J16" s="233" t="s">
        <v>61</v>
      </c>
      <c r="K16" s="421">
        <f>'2-1-3 旅客輸送機関分担率推移'!AC16</f>
        <v>18689</v>
      </c>
      <c r="L16" s="136">
        <f>'2-1-3 旅客輸送機関分担率推移'!BA16</f>
        <v>3154040</v>
      </c>
      <c r="M16" s="149" t="s">
        <v>6</v>
      </c>
      <c r="N16" s="150"/>
    </row>
    <row r="17" spans="1:14" ht="11.25" thickBot="1">
      <c r="A17" s="150"/>
      <c r="B17" s="150"/>
      <c r="C17" s="150"/>
      <c r="D17" s="150"/>
      <c r="E17" s="150"/>
      <c r="F17" s="150"/>
      <c r="G17" s="150"/>
      <c r="H17" s="150"/>
      <c r="I17" s="150"/>
      <c r="J17" s="234" t="s">
        <v>199</v>
      </c>
      <c r="K17" s="422">
        <f>SUM(K5:K16)</f>
        <v>254711</v>
      </c>
      <c r="L17" s="139">
        <f>SUM(L5:L16)</f>
        <v>42549644</v>
      </c>
      <c r="M17" s="495">
        <f>L17/K17</f>
        <v>167.05067311580575</v>
      </c>
      <c r="N17" s="150"/>
    </row>
    <row r="18" spans="1:14" ht="11.25" thickBot="1">
      <c r="A18" s="150"/>
      <c r="B18" s="9"/>
      <c r="C18" s="10" t="s">
        <v>86</v>
      </c>
      <c r="D18" s="10" t="s">
        <v>204</v>
      </c>
      <c r="E18" s="10" t="s">
        <v>205</v>
      </c>
      <c r="F18" s="10" t="s">
        <v>87</v>
      </c>
      <c r="G18" s="8" t="s">
        <v>6</v>
      </c>
      <c r="H18" s="150"/>
      <c r="I18" s="150"/>
      <c r="N18" s="150"/>
    </row>
    <row r="19" spans="1:14" ht="10.5">
      <c r="A19" s="150"/>
      <c r="B19" s="67">
        <v>3</v>
      </c>
      <c r="C19" s="59">
        <f aca="true" t="shared" si="1" ref="C19:C28">C5</f>
        <v>252.781</v>
      </c>
      <c r="D19" s="59">
        <v>0</v>
      </c>
      <c r="E19" s="59">
        <v>0</v>
      </c>
      <c r="F19" s="59">
        <f>F5</f>
        <v>42167.312</v>
      </c>
      <c r="G19" s="430">
        <f aca="true" t="shared" si="2" ref="G19:G28">G5*10-1300</f>
        <v>368.1361336492853</v>
      </c>
      <c r="H19" s="150"/>
      <c r="I19" s="150"/>
      <c r="J19" s="2" t="s">
        <v>200</v>
      </c>
      <c r="K19" s="129">
        <f>'2-1-3 旅客輸送機関分担率推移'!AC21</f>
        <v>254711</v>
      </c>
      <c r="L19" s="129">
        <f>'2-1-3 旅客輸送機関分担率推移'!BA21</f>
        <v>42549644</v>
      </c>
      <c r="M19" s="131">
        <f>L19/K19</f>
        <v>167.05067311580575</v>
      </c>
      <c r="N19" s="150"/>
    </row>
    <row r="20" spans="1:14" ht="10.5">
      <c r="A20" s="150"/>
      <c r="B20" s="67">
        <v>4</v>
      </c>
      <c r="C20" s="59">
        <f t="shared" si="1"/>
        <v>249.049</v>
      </c>
      <c r="D20" s="59">
        <v>0</v>
      </c>
      <c r="E20" s="59">
        <v>0</v>
      </c>
      <c r="F20" s="59">
        <f aca="true" t="shared" si="3" ref="F20:F28">F6</f>
        <v>43033.956</v>
      </c>
      <c r="G20" s="430">
        <f t="shared" si="2"/>
        <v>427.9312906295547</v>
      </c>
      <c r="H20" s="150"/>
      <c r="I20" s="150"/>
      <c r="K20" s="170">
        <f>K19/1000</f>
        <v>254.711</v>
      </c>
      <c r="L20" s="170">
        <f>L19/1000</f>
        <v>42549.644</v>
      </c>
      <c r="N20" s="150"/>
    </row>
    <row r="21" spans="1:14" ht="10.5">
      <c r="A21" s="150"/>
      <c r="B21" s="67">
        <v>5</v>
      </c>
      <c r="C21" s="59">
        <f t="shared" si="1"/>
        <v>247.655</v>
      </c>
      <c r="D21" s="59">
        <v>0</v>
      </c>
      <c r="E21" s="59">
        <v>0</v>
      </c>
      <c r="F21" s="59">
        <f t="shared" si="3"/>
        <v>43076.529</v>
      </c>
      <c r="G21" s="430">
        <f t="shared" si="2"/>
        <v>439.37651167955437</v>
      </c>
      <c r="H21" s="150"/>
      <c r="I21" s="150"/>
      <c r="J21" s="150"/>
      <c r="K21" s="150"/>
      <c r="L21" s="150"/>
      <c r="M21" s="150"/>
      <c r="N21" s="150"/>
    </row>
    <row r="22" spans="1:8" ht="10.5">
      <c r="A22" s="150"/>
      <c r="B22" s="67">
        <v>6</v>
      </c>
      <c r="C22" s="59">
        <f t="shared" si="1"/>
        <v>248.12</v>
      </c>
      <c r="D22" s="59">
        <v>0</v>
      </c>
      <c r="E22" s="59">
        <v>0</v>
      </c>
      <c r="F22" s="59">
        <f t="shared" si="3"/>
        <v>42883.321</v>
      </c>
      <c r="G22" s="430">
        <f t="shared" si="2"/>
        <v>428.32988070288593</v>
      </c>
      <c r="H22" s="150"/>
    </row>
    <row r="23" spans="1:8" ht="10.5">
      <c r="A23" s="150"/>
      <c r="B23" s="67">
        <v>7</v>
      </c>
      <c r="C23" s="59">
        <f t="shared" si="1"/>
        <v>248.941</v>
      </c>
      <c r="D23" s="59">
        <v>0</v>
      </c>
      <c r="E23" s="59">
        <v>0</v>
      </c>
      <c r="F23" s="59">
        <f t="shared" si="3"/>
        <v>43275.585</v>
      </c>
      <c r="G23" s="430">
        <f t="shared" si="2"/>
        <v>438.3872082139944</v>
      </c>
      <c r="H23" s="150"/>
    </row>
    <row r="24" spans="1:8" ht="10.5">
      <c r="A24" s="150"/>
      <c r="B24" s="67">
        <v>8</v>
      </c>
      <c r="C24" s="59">
        <f t="shared" si="1"/>
        <v>247.835</v>
      </c>
      <c r="D24" s="59">
        <v>0</v>
      </c>
      <c r="E24" s="59">
        <v>0</v>
      </c>
      <c r="F24" s="59">
        <f t="shared" si="3"/>
        <v>43034.633</v>
      </c>
      <c r="G24" s="430">
        <f t="shared" si="2"/>
        <v>436.4227409365103</v>
      </c>
      <c r="H24" s="150"/>
    </row>
    <row r="25" spans="1:8" ht="10.5">
      <c r="A25" s="150"/>
      <c r="B25" s="67">
        <v>9</v>
      </c>
      <c r="C25" s="59">
        <f t="shared" si="1"/>
        <v>247.384</v>
      </c>
      <c r="D25" s="59">
        <v>0</v>
      </c>
      <c r="E25" s="59">
        <v>0</v>
      </c>
      <c r="F25" s="59">
        <f t="shared" si="3"/>
        <v>42811.686</v>
      </c>
      <c r="G25" s="430">
        <f t="shared" si="2"/>
        <v>430.5761892442522</v>
      </c>
      <c r="H25" s="150"/>
    </row>
    <row r="26" spans="1:8" ht="10.5">
      <c r="A26" s="150"/>
      <c r="B26" s="67">
        <v>10</v>
      </c>
      <c r="C26" s="59">
        <f t="shared" si="1"/>
        <v>247.861</v>
      </c>
      <c r="D26" s="59">
        <v>0</v>
      </c>
      <c r="E26" s="59">
        <v>0</v>
      </c>
      <c r="F26" s="59">
        <f t="shared" si="3"/>
        <v>42504.999</v>
      </c>
      <c r="G26" s="430">
        <f t="shared" si="2"/>
        <v>414.8724083256343</v>
      </c>
      <c r="H26" s="150"/>
    </row>
    <row r="27" spans="1:8" ht="10.5">
      <c r="A27" s="150"/>
      <c r="B27" s="67">
        <v>11</v>
      </c>
      <c r="C27" s="59">
        <f t="shared" si="1"/>
        <v>251.614</v>
      </c>
      <c r="D27" s="59">
        <v>0</v>
      </c>
      <c r="E27" s="59">
        <v>0</v>
      </c>
      <c r="F27" s="59">
        <f t="shared" si="3"/>
        <v>42836.939</v>
      </c>
      <c r="G27" s="430">
        <f t="shared" si="2"/>
        <v>402.4863083930145</v>
      </c>
      <c r="H27" s="150"/>
    </row>
    <row r="28" spans="1:8" ht="11.25" thickBot="1">
      <c r="A28" s="150"/>
      <c r="B28" s="65">
        <v>12</v>
      </c>
      <c r="C28" s="68">
        <f t="shared" si="1"/>
        <v>254.711</v>
      </c>
      <c r="D28" s="68">
        <v>0</v>
      </c>
      <c r="E28" s="68">
        <v>0</v>
      </c>
      <c r="F28" s="68">
        <f t="shared" si="3"/>
        <v>42549.644</v>
      </c>
      <c r="G28" s="496">
        <f t="shared" si="2"/>
        <v>370.5067311580574</v>
      </c>
      <c r="H28" s="150"/>
    </row>
    <row r="29" spans="1:8" ht="10.5">
      <c r="A29" s="150"/>
      <c r="B29" s="150"/>
      <c r="C29" s="150"/>
      <c r="D29" s="150"/>
      <c r="E29" s="150"/>
      <c r="F29" s="150"/>
      <c r="G29" s="150"/>
      <c r="H29" s="150"/>
    </row>
  </sheetData>
  <printOptions/>
  <pageMargins left="0.4330708661417323" right="0.4330708661417323" top="0.984251968503937" bottom="0.984251968503937" header="0.5118110236220472" footer="0.5118110236220472"/>
  <pageSetup horizontalDpi="400" verticalDpi="400" orientation="portrait" paperSize="9" scale="120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75"/>
  <sheetViews>
    <sheetView workbookViewId="0" topLeftCell="A1">
      <selection activeCell="C70" sqref="C70"/>
    </sheetView>
  </sheetViews>
  <sheetFormatPr defaultColWidth="9.00390625" defaultRowHeight="13.5"/>
  <cols>
    <col min="1" max="2" width="9.00390625" style="1" customWidth="1"/>
    <col min="3" max="3" width="11.50390625" style="1" customWidth="1"/>
    <col min="4" max="32" width="9.00390625" style="1" customWidth="1"/>
    <col min="33" max="34" width="10.625" style="1" customWidth="1"/>
    <col min="35" max="38" width="9.00390625" style="1" customWidth="1"/>
    <col min="39" max="39" width="9.00390625" style="116" customWidth="1"/>
    <col min="40" max="16384" width="9.00390625" style="1" customWidth="1"/>
  </cols>
  <sheetData>
    <row r="1" spans="3:35" ht="10.5">
      <c r="C1" s="1" t="s">
        <v>93</v>
      </c>
      <c r="I1" s="2" t="s">
        <v>196</v>
      </c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25:36" ht="11.25" thickBot="1">
      <c r="Y2" s="62"/>
      <c r="Z2" s="62"/>
      <c r="AA2" s="62"/>
      <c r="AB2" s="62"/>
      <c r="AC2" s="150"/>
      <c r="AD2" s="150"/>
      <c r="AE2" s="150"/>
      <c r="AF2" s="150"/>
      <c r="AG2" s="150"/>
      <c r="AH2" s="150"/>
      <c r="AI2" s="150"/>
      <c r="AJ2" s="150"/>
    </row>
    <row r="3" spans="2:39" ht="11.25" thickBot="1">
      <c r="B3" s="9"/>
      <c r="C3" s="10" t="s">
        <v>94</v>
      </c>
      <c r="D3" s="10" t="s">
        <v>95</v>
      </c>
      <c r="E3" s="8" t="s">
        <v>81</v>
      </c>
      <c r="F3" s="1" t="s">
        <v>96</v>
      </c>
      <c r="G3" s="147">
        <v>8901159</v>
      </c>
      <c r="I3" s="42"/>
      <c r="J3" s="38" t="s">
        <v>97</v>
      </c>
      <c r="K3" s="38"/>
      <c r="L3" s="44" t="s">
        <v>98</v>
      </c>
      <c r="M3" s="39"/>
      <c r="N3" s="38" t="s">
        <v>99</v>
      </c>
      <c r="O3" s="38"/>
      <c r="P3" s="44" t="s">
        <v>100</v>
      </c>
      <c r="Q3" s="39"/>
      <c r="R3" s="38" t="s">
        <v>101</v>
      </c>
      <c r="S3" s="38"/>
      <c r="T3" s="44" t="s">
        <v>102</v>
      </c>
      <c r="U3" s="39"/>
      <c r="V3" s="38" t="s">
        <v>103</v>
      </c>
      <c r="W3" s="38"/>
      <c r="X3" s="38"/>
      <c r="Y3" s="161" t="s">
        <v>104</v>
      </c>
      <c r="Z3" s="162"/>
      <c r="AA3" s="161" t="s">
        <v>105</v>
      </c>
      <c r="AB3" s="173"/>
      <c r="AC3" s="174"/>
      <c r="AD3" s="173"/>
      <c r="AE3" s="173"/>
      <c r="AF3" s="162"/>
      <c r="AG3" s="188" t="s">
        <v>106</v>
      </c>
      <c r="AH3" s="173"/>
      <c r="AI3" s="189"/>
      <c r="AJ3" s="156"/>
      <c r="AK3" s="40"/>
      <c r="AM3" s="116" t="s">
        <v>107</v>
      </c>
    </row>
    <row r="4" spans="2:39" ht="11.25" thickBot="1">
      <c r="B4" s="67" t="s">
        <v>2</v>
      </c>
      <c r="C4" s="414">
        <v>-3.8</v>
      </c>
      <c r="D4" s="166">
        <v>86.46</v>
      </c>
      <c r="E4" s="63">
        <v>48.18</v>
      </c>
      <c r="F4" s="147">
        <v>8492071</v>
      </c>
      <c r="G4" s="132">
        <f>F4/G3*100-100</f>
        <v>-4.595895882772112</v>
      </c>
      <c r="I4" s="7"/>
      <c r="J4" s="41" t="s">
        <v>108</v>
      </c>
      <c r="K4" s="41" t="s">
        <v>109</v>
      </c>
      <c r="L4" s="45" t="s">
        <v>110</v>
      </c>
      <c r="M4" s="4" t="s">
        <v>109</v>
      </c>
      <c r="N4" s="41" t="s">
        <v>111</v>
      </c>
      <c r="O4" s="41" t="s">
        <v>109</v>
      </c>
      <c r="P4" s="45" t="s">
        <v>110</v>
      </c>
      <c r="Q4" s="4" t="s">
        <v>109</v>
      </c>
      <c r="R4" s="41" t="s">
        <v>110</v>
      </c>
      <c r="S4" s="41" t="s">
        <v>109</v>
      </c>
      <c r="T4" s="45" t="s">
        <v>108</v>
      </c>
      <c r="U4" s="4" t="s">
        <v>109</v>
      </c>
      <c r="V4" s="41" t="s">
        <v>108</v>
      </c>
      <c r="W4" s="171" t="s">
        <v>112</v>
      </c>
      <c r="X4" s="171" t="s">
        <v>113</v>
      </c>
      <c r="Y4" s="163" t="s">
        <v>110</v>
      </c>
      <c r="Z4" s="64" t="s">
        <v>109</v>
      </c>
      <c r="AA4" s="185" t="s">
        <v>114</v>
      </c>
      <c r="AB4" s="178" t="s">
        <v>115</v>
      </c>
      <c r="AC4" s="175" t="s">
        <v>95</v>
      </c>
      <c r="AD4" s="187" t="s">
        <v>96</v>
      </c>
      <c r="AE4" s="184" t="s">
        <v>116</v>
      </c>
      <c r="AF4" s="186" t="s">
        <v>81</v>
      </c>
      <c r="AG4" s="190" t="s">
        <v>114</v>
      </c>
      <c r="AH4" s="184" t="s">
        <v>115</v>
      </c>
      <c r="AI4" s="191" t="s">
        <v>95</v>
      </c>
      <c r="AJ4" s="156"/>
      <c r="AK4" s="40"/>
      <c r="AM4" s="116" t="s">
        <v>96</v>
      </c>
    </row>
    <row r="5" spans="2:39" ht="10.5">
      <c r="B5" s="67" t="s">
        <v>3</v>
      </c>
      <c r="C5" s="414">
        <v>-3.5</v>
      </c>
      <c r="D5" s="166">
        <v>85.94</v>
      </c>
      <c r="E5" s="63">
        <v>47.4</v>
      </c>
      <c r="F5" s="147">
        <v>8145361</v>
      </c>
      <c r="G5" s="132">
        <f>F5/F4*100-100</f>
        <v>-4.082749661419456</v>
      </c>
      <c r="I5" s="67" t="s">
        <v>50</v>
      </c>
      <c r="J5" s="420">
        <f>L5+N5+P5+R5+T5+V5+Y5</f>
        <v>5152913</v>
      </c>
      <c r="K5" s="143">
        <f aca="true" t="shared" si="0" ref="K5:K17">J5/J26*100</f>
        <v>100.76554163126386</v>
      </c>
      <c r="L5" s="454">
        <f>'2-1-3 旅客輸送機関分担率推移'!AB5</f>
        <v>428150</v>
      </c>
      <c r="M5" s="455">
        <f aca="true" t="shared" si="1" ref="M5:M14">L5/L26*100</f>
        <v>96.69500252945002</v>
      </c>
      <c r="N5" s="420">
        <f>'2-1-3 旅客輸送機関分担率推移'!AC5</f>
        <v>19825</v>
      </c>
      <c r="O5" s="143">
        <f aca="true" t="shared" si="2" ref="O5:O14">N5/N26*100</f>
        <v>103.11557266202018</v>
      </c>
      <c r="P5" s="454">
        <f>'2-1-3 旅客輸送機関分担率推移'!AD5</f>
        <v>120339</v>
      </c>
      <c r="Q5" s="455">
        <f aca="true" t="shared" si="3" ref="Q5:Q14">P5/P26*100</f>
        <v>95.21093107158681</v>
      </c>
      <c r="R5" s="420">
        <f>'2-1-3 旅客輸送機関分担率推移'!AF5</f>
        <v>214640</v>
      </c>
      <c r="S5" s="143">
        <f aca="true" t="shared" si="4" ref="S5:S14">R5/R26*100</f>
        <v>94.41365355854667</v>
      </c>
      <c r="T5" s="454">
        <f>'2-1-3 旅客輸送機関分担率推移'!AG5</f>
        <v>2942597</v>
      </c>
      <c r="U5" s="455">
        <f aca="true" t="shared" si="5" ref="U5:U14">T5/T26*100</f>
        <v>100.76462160322272</v>
      </c>
      <c r="V5" s="420">
        <f>'2-1-3 旅客輸送機関分担率推移'!AH5</f>
        <v>1222658</v>
      </c>
      <c r="W5" s="414"/>
      <c r="X5" s="143"/>
      <c r="Y5" s="115">
        <f>'2-1-3 旅客輸送機関分担率推移'!AI5</f>
        <v>204704</v>
      </c>
      <c r="Z5" s="415">
        <f aca="true" t="shared" si="6" ref="Z5:Z16">Y5/Y26*100</f>
        <v>92.72904350977328</v>
      </c>
      <c r="AA5" s="457">
        <v>6795442</v>
      </c>
      <c r="AB5" s="458">
        <v>7712460</v>
      </c>
      <c r="AC5" s="179">
        <f>AA5/AB5*100</f>
        <v>88.10991564299847</v>
      </c>
      <c r="AD5" s="202">
        <v>707761</v>
      </c>
      <c r="AE5" s="205">
        <v>1434106</v>
      </c>
      <c r="AF5" s="181">
        <f>AD5/AE5*100</f>
        <v>49.35207020959399</v>
      </c>
      <c r="AG5" s="197">
        <v>838480564</v>
      </c>
      <c r="AH5" s="462">
        <v>1254381150</v>
      </c>
      <c r="AI5" s="193">
        <f aca="true" t="shared" si="7" ref="AI5:AI16">AG5/AH5*100</f>
        <v>66.84416168084158</v>
      </c>
      <c r="AJ5" s="164"/>
      <c r="AK5" s="119"/>
      <c r="AL5" s="145">
        <v>34790</v>
      </c>
      <c r="AM5" s="129">
        <v>782261</v>
      </c>
    </row>
    <row r="6" spans="2:39" ht="10.5">
      <c r="B6" s="67" t="s">
        <v>10</v>
      </c>
      <c r="C6" s="143">
        <v>-3.697733128753228</v>
      </c>
      <c r="D6" s="166">
        <v>86.15918151833272</v>
      </c>
      <c r="E6" s="63">
        <v>46.94112264579295</v>
      </c>
      <c r="F6" s="147">
        <v>7873611</v>
      </c>
      <c r="G6" s="132">
        <f>F6/F5*100-100</f>
        <v>-3.3362548326587387</v>
      </c>
      <c r="I6" s="67" t="s">
        <v>51</v>
      </c>
      <c r="J6" s="420">
        <f>L6+N6+P6+R6+T6+V6+Y6</f>
        <v>5385975</v>
      </c>
      <c r="K6" s="143">
        <f t="shared" si="0"/>
        <v>104.51212732453727</v>
      </c>
      <c r="L6" s="115">
        <f>'2-1-3 旅客輸送機関分担率推移'!AB6</f>
        <v>409616</v>
      </c>
      <c r="M6" s="415">
        <f t="shared" si="1"/>
        <v>98.74357565063112</v>
      </c>
      <c r="N6" s="420">
        <f>'2-1-3 旅客輸送機関分担率推移'!AC6</f>
        <v>25059</v>
      </c>
      <c r="O6" s="143">
        <f t="shared" si="2"/>
        <v>101.09734941703312</v>
      </c>
      <c r="P6" s="115">
        <f>'2-1-3 旅客輸送機関分担率推移'!AD6</f>
        <v>136234</v>
      </c>
      <c r="Q6" s="415">
        <f t="shared" si="3"/>
        <v>98.64809089000079</v>
      </c>
      <c r="R6" s="420">
        <f>'2-1-3 旅客輸送機関分担率推移'!AF6</f>
        <v>204490</v>
      </c>
      <c r="S6" s="143">
        <f t="shared" si="4"/>
        <v>98.93656138721164</v>
      </c>
      <c r="T6" s="115">
        <f>'2-1-3 旅客輸送機関分担率推移'!AG6</f>
        <v>3154840</v>
      </c>
      <c r="U6" s="415">
        <f t="shared" si="5"/>
        <v>105.10359642436423</v>
      </c>
      <c r="V6" s="420">
        <f>'2-1-3 旅客輸送機関分担率推移'!AH6</f>
        <v>1258644</v>
      </c>
      <c r="W6" s="414"/>
      <c r="X6" s="143"/>
      <c r="Y6" s="115">
        <f>'2-1-3 旅客輸送機関分担率推移'!AI6</f>
        <v>197092</v>
      </c>
      <c r="Z6" s="415">
        <f t="shared" si="6"/>
        <v>96.25089735262662</v>
      </c>
      <c r="AA6" s="459">
        <v>6823460</v>
      </c>
      <c r="AB6" s="201">
        <v>7968333</v>
      </c>
      <c r="AC6" s="176">
        <f aca="true" t="shared" si="8" ref="AC6:AC16">AA6/AB6*100</f>
        <v>85.63221441674187</v>
      </c>
      <c r="AD6" s="199">
        <v>681844</v>
      </c>
      <c r="AE6" s="206">
        <v>1377529</v>
      </c>
      <c r="AF6" s="63">
        <f aca="true" t="shared" si="9" ref="AF6:AF16">AD6/AE6*100</f>
        <v>49.49761493224462</v>
      </c>
      <c r="AG6" s="200">
        <v>850377341</v>
      </c>
      <c r="AH6" s="463">
        <v>1296708486</v>
      </c>
      <c r="AI6" s="192">
        <f t="shared" si="7"/>
        <v>65.57968503955638</v>
      </c>
      <c r="AJ6" s="164"/>
      <c r="AK6" s="119"/>
      <c r="AL6" s="145">
        <v>34820</v>
      </c>
      <c r="AM6" s="129">
        <v>739354</v>
      </c>
    </row>
    <row r="7" spans="2:39" ht="10.5">
      <c r="B7" s="67" t="s">
        <v>11</v>
      </c>
      <c r="C7" s="143">
        <v>-1.8525610080047272</v>
      </c>
      <c r="D7" s="166">
        <v>86.67275307172919</v>
      </c>
      <c r="E7" s="63">
        <v>48.54966432341709</v>
      </c>
      <c r="F7" s="147">
        <v>7983701</v>
      </c>
      <c r="G7" s="132">
        <f>F7/F6*100-100</f>
        <v>1.3982148724390981</v>
      </c>
      <c r="I7" s="67" t="s">
        <v>52</v>
      </c>
      <c r="J7" s="420">
        <f>L7+N7+P7+R7+T7+V7+Y7</f>
        <v>5262705</v>
      </c>
      <c r="K7" s="143">
        <f t="shared" si="0"/>
        <v>102.40879453441474</v>
      </c>
      <c r="L7" s="115">
        <f>'2-1-3 旅客輸送機関分担率推移'!AB7</f>
        <v>418001</v>
      </c>
      <c r="M7" s="415">
        <f t="shared" si="1"/>
        <v>97.2914407012415</v>
      </c>
      <c r="N7" s="420">
        <f>'2-1-3 旅客輸送機関分担率推移'!AC7</f>
        <v>23760</v>
      </c>
      <c r="O7" s="143">
        <f t="shared" si="2"/>
        <v>101.40412274337416</v>
      </c>
      <c r="P7" s="115">
        <f>'2-1-3 旅客輸送機関分担率推移'!AD7</f>
        <v>161272</v>
      </c>
      <c r="Q7" s="415">
        <f t="shared" si="3"/>
        <v>98.04066992917718</v>
      </c>
      <c r="R7" s="420">
        <f>'2-1-3 旅客輸送機関分担率推移'!AF7</f>
        <v>186157</v>
      </c>
      <c r="S7" s="143">
        <f t="shared" si="4"/>
        <v>94.36612578635481</v>
      </c>
      <c r="T7" s="115">
        <f>'2-1-3 旅客輸送機関分担率推移'!AG7</f>
        <v>3025337</v>
      </c>
      <c r="U7" s="415">
        <f t="shared" si="5"/>
        <v>103.06875606632595</v>
      </c>
      <c r="V7" s="420">
        <f>'2-1-3 旅客輸送機関分担率推移'!AH7</f>
        <v>1211351</v>
      </c>
      <c r="W7" s="414"/>
      <c r="X7" s="143"/>
      <c r="Y7" s="115">
        <f>'2-1-3 旅客輸送機関分担率推移'!AI7</f>
        <v>236827</v>
      </c>
      <c r="Z7" s="415">
        <f t="shared" si="6"/>
        <v>98.67709435754702</v>
      </c>
      <c r="AA7" s="459">
        <v>6627011</v>
      </c>
      <c r="AB7" s="201">
        <v>7707930</v>
      </c>
      <c r="AC7" s="176">
        <f t="shared" si="8"/>
        <v>85.9765332586051</v>
      </c>
      <c r="AD7" s="199">
        <v>643149</v>
      </c>
      <c r="AE7" s="206">
        <v>1306808</v>
      </c>
      <c r="AF7" s="63">
        <f t="shared" si="9"/>
        <v>49.21526345109611</v>
      </c>
      <c r="AG7" s="200">
        <v>836708518</v>
      </c>
      <c r="AH7" s="463">
        <v>1256451720</v>
      </c>
      <c r="AI7" s="192">
        <f t="shared" si="7"/>
        <v>66.59297008244774</v>
      </c>
      <c r="AJ7" s="164"/>
      <c r="AK7" s="119"/>
      <c r="AL7" s="145">
        <v>34851</v>
      </c>
      <c r="AM7" s="129">
        <v>754472</v>
      </c>
    </row>
    <row r="8" spans="2:39" ht="11.25" thickBot="1">
      <c r="B8" s="234" t="s">
        <v>184</v>
      </c>
      <c r="C8" s="453">
        <f>'2-1-2 輸送機関別国内旅客輸送量'!$J$21-100</f>
        <v>-0.5191101986817444</v>
      </c>
      <c r="D8" s="497">
        <f>AC19</f>
        <v>86.87079856915005</v>
      </c>
      <c r="E8" s="195">
        <f>AF19</f>
        <v>49.366043201715215</v>
      </c>
      <c r="F8" s="147">
        <f>AD19</f>
        <v>8024665.048997004</v>
      </c>
      <c r="G8" s="132">
        <f>F8/F7*100-100</f>
        <v>0.5130959813876217</v>
      </c>
      <c r="I8" s="67" t="s">
        <v>53</v>
      </c>
      <c r="J8" s="420">
        <f>L8+N8+P8+R8+T8+V8+Y8</f>
        <v>5493061</v>
      </c>
      <c r="K8" s="143">
        <f t="shared" si="0"/>
        <v>102.24124160772148</v>
      </c>
      <c r="L8" s="115">
        <f>'2-1-3 旅客輸送機関分担率推移'!AB8</f>
        <v>402389</v>
      </c>
      <c r="M8" s="415">
        <f t="shared" si="1"/>
        <v>95.09145476888175</v>
      </c>
      <c r="N8" s="420">
        <f>'2-1-3 旅客輸送機関分担率推移'!AC8</f>
        <v>22430</v>
      </c>
      <c r="O8" s="143">
        <f t="shared" si="2"/>
        <v>99.71104689931096</v>
      </c>
      <c r="P8" s="115">
        <f>'2-1-3 旅客輸送機関分担率推移'!AD8</f>
        <v>132290</v>
      </c>
      <c r="Q8" s="415">
        <f t="shared" si="3"/>
        <v>84.21555208963301</v>
      </c>
      <c r="R8" s="420">
        <f>'2-1-3 旅客輸送機関分担率推移'!AF8</f>
        <v>206021</v>
      </c>
      <c r="S8" s="143">
        <f t="shared" si="4"/>
        <v>97.14947233408468</v>
      </c>
      <c r="T8" s="115">
        <f>'2-1-3 旅客輸送機関分担率推移'!AG8</f>
        <v>3239630</v>
      </c>
      <c r="U8" s="415">
        <f t="shared" si="5"/>
        <v>104.38247011952191</v>
      </c>
      <c r="V8" s="420">
        <f>'2-1-3 旅客輸送機関分担率推移'!AH8</f>
        <v>1270570</v>
      </c>
      <c r="W8" s="414"/>
      <c r="X8" s="143"/>
      <c r="Y8" s="115">
        <f>'2-1-3 旅客輸送機関分担率推移'!AI8</f>
        <v>219731</v>
      </c>
      <c r="Z8" s="415">
        <f t="shared" si="6"/>
        <v>97.07062139405024</v>
      </c>
      <c r="AA8" s="459">
        <v>6900636</v>
      </c>
      <c r="AB8" s="201">
        <v>7961544</v>
      </c>
      <c r="AC8" s="176">
        <f t="shared" si="8"/>
        <v>86.67459477709349</v>
      </c>
      <c r="AD8" s="199">
        <v>699591</v>
      </c>
      <c r="AE8" s="206">
        <v>1421390</v>
      </c>
      <c r="AF8" s="63">
        <f t="shared" si="9"/>
        <v>49.21879287176637</v>
      </c>
      <c r="AG8" s="200">
        <v>897806049</v>
      </c>
      <c r="AH8" s="463">
        <v>1301419618</v>
      </c>
      <c r="AI8" s="192">
        <f t="shared" si="7"/>
        <v>68.98666937107751</v>
      </c>
      <c r="AJ8" s="164"/>
      <c r="AK8" s="119"/>
      <c r="AL8" s="145">
        <v>34881</v>
      </c>
      <c r="AM8" s="129">
        <v>777695</v>
      </c>
    </row>
    <row r="9" spans="9:39" ht="10.5">
      <c r="I9" s="67" t="s">
        <v>54</v>
      </c>
      <c r="J9" s="420">
        <f aca="true" t="shared" si="10" ref="J9:J17">L9+N9+P9+R9+T9+V9+Y9</f>
        <v>5225403</v>
      </c>
      <c r="K9" s="143">
        <f t="shared" si="0"/>
        <v>101.8304685613663</v>
      </c>
      <c r="L9" s="115">
        <f>'2-1-3 旅客輸送機関分担率推移'!AB9</f>
        <v>392305</v>
      </c>
      <c r="M9" s="415">
        <f t="shared" si="1"/>
        <v>98.70053085767479</v>
      </c>
      <c r="N9" s="420">
        <f>'2-1-3 旅客輸送機関分担率推移'!AC9</f>
        <v>18817</v>
      </c>
      <c r="O9" s="143">
        <f t="shared" si="2"/>
        <v>98.96912638720875</v>
      </c>
      <c r="P9" s="115">
        <f>'2-1-3 旅客輸送機関分担率推移'!AD9</f>
        <v>96323</v>
      </c>
      <c r="Q9" s="415">
        <f t="shared" si="3"/>
        <v>96.09908912234494</v>
      </c>
      <c r="R9" s="420">
        <f>'2-1-3 旅客輸送機関分担率推移'!AF9</f>
        <v>218879</v>
      </c>
      <c r="S9" s="143">
        <f t="shared" si="4"/>
        <v>104.98297280445105</v>
      </c>
      <c r="T9" s="115">
        <f>'2-1-3 旅客輸送機関分担率推移'!AG9</f>
        <v>3053046</v>
      </c>
      <c r="U9" s="415">
        <f t="shared" si="5"/>
        <v>101.44499624197307</v>
      </c>
      <c r="V9" s="420">
        <f>'2-1-3 旅客輸送機関分担率推移'!AH9</f>
        <v>1257712</v>
      </c>
      <c r="W9" s="414"/>
      <c r="X9" s="143"/>
      <c r="Y9" s="115">
        <f>'2-1-3 旅客輸送機関分担率推移'!AI9</f>
        <v>188321</v>
      </c>
      <c r="Z9" s="415">
        <f t="shared" si="6"/>
        <v>93.99037741687546</v>
      </c>
      <c r="AA9" s="459">
        <v>6913300</v>
      </c>
      <c r="AB9" s="201">
        <v>7957111</v>
      </c>
      <c r="AC9" s="176">
        <f t="shared" si="8"/>
        <v>86.88203545231428</v>
      </c>
      <c r="AD9" s="199">
        <v>697943</v>
      </c>
      <c r="AE9" s="206">
        <v>1417794</v>
      </c>
      <c r="AF9" s="63">
        <f t="shared" si="9"/>
        <v>49.22739128533482</v>
      </c>
      <c r="AG9" s="200">
        <v>868273929</v>
      </c>
      <c r="AH9" s="463">
        <v>1302843448</v>
      </c>
      <c r="AI9" s="192">
        <f t="shared" si="7"/>
        <v>66.64453279731273</v>
      </c>
      <c r="AJ9" s="164"/>
      <c r="AK9" s="119"/>
      <c r="AL9" s="145">
        <v>34912</v>
      </c>
      <c r="AM9" s="129">
        <v>756775</v>
      </c>
    </row>
    <row r="10" spans="2:39" ht="11.25" thickBot="1">
      <c r="B10" s="1" t="s">
        <v>117</v>
      </c>
      <c r="I10" s="67" t="s">
        <v>55</v>
      </c>
      <c r="J10" s="420">
        <f t="shared" si="10"/>
        <v>5264803</v>
      </c>
      <c r="K10" s="143">
        <f t="shared" si="0"/>
        <v>100.39748594525624</v>
      </c>
      <c r="L10" s="115">
        <f>'2-1-3 旅客輸送機関分担率推移'!AB10</f>
        <v>404880</v>
      </c>
      <c r="M10" s="415">
        <f t="shared" si="1"/>
        <v>95.94562891449777</v>
      </c>
      <c r="N10" s="420">
        <f>'2-1-3 旅客輸送機関分担率推移'!AC10</f>
        <v>21029</v>
      </c>
      <c r="O10" s="143">
        <f t="shared" si="2"/>
        <v>104.20713577799803</v>
      </c>
      <c r="P10" s="115">
        <f>'2-1-3 旅客輸送機関分担率推移'!AD10</f>
        <v>138683</v>
      </c>
      <c r="Q10" s="415">
        <f t="shared" si="3"/>
        <v>98.03412882429453</v>
      </c>
      <c r="R10" s="420">
        <f>'2-1-3 旅客輸送機関分担率推移'!AF10</f>
        <v>193115</v>
      </c>
      <c r="S10" s="143">
        <f t="shared" si="4"/>
        <v>95.95347288816897</v>
      </c>
      <c r="T10" s="115">
        <f>'2-1-3 旅客輸送機関分担率推移'!AG10</f>
        <v>3090535</v>
      </c>
      <c r="U10" s="415">
        <f t="shared" si="5"/>
        <v>100.48641310974371</v>
      </c>
      <c r="V10" s="420">
        <f>'2-1-3 旅客輸送機関分担率推移'!AH10</f>
        <v>1225576</v>
      </c>
      <c r="W10" s="414"/>
      <c r="X10" s="143"/>
      <c r="Y10" s="115">
        <f>'2-1-3 旅客輸送機関分担率推移'!AI10</f>
        <v>190985</v>
      </c>
      <c r="Z10" s="415">
        <f t="shared" si="6"/>
        <v>94.24097978840992</v>
      </c>
      <c r="AA10" s="459">
        <v>6397877</v>
      </c>
      <c r="AB10" s="201">
        <v>7247160</v>
      </c>
      <c r="AC10" s="176">
        <f t="shared" si="8"/>
        <v>88.28116117210052</v>
      </c>
      <c r="AD10" s="199">
        <v>627845</v>
      </c>
      <c r="AE10" s="206">
        <v>1274001</v>
      </c>
      <c r="AF10" s="63">
        <f t="shared" si="9"/>
        <v>49.28135849186931</v>
      </c>
      <c r="AG10" s="200">
        <v>870448821</v>
      </c>
      <c r="AH10" s="463">
        <v>1262721480</v>
      </c>
      <c r="AI10" s="192">
        <f t="shared" si="7"/>
        <v>68.93434813510893</v>
      </c>
      <c r="AJ10" s="164"/>
      <c r="AK10" s="119"/>
      <c r="AL10" s="145">
        <v>34943</v>
      </c>
      <c r="AM10" s="129">
        <v>699210</v>
      </c>
    </row>
    <row r="11" spans="2:39" ht="11.25" thickBot="1">
      <c r="B11" s="9"/>
      <c r="C11" s="10" t="s">
        <v>94</v>
      </c>
      <c r="D11" s="10" t="s">
        <v>95</v>
      </c>
      <c r="E11" s="8" t="s">
        <v>81</v>
      </c>
      <c r="I11" s="67" t="s">
        <v>56</v>
      </c>
      <c r="J11" s="420">
        <f t="shared" si="10"/>
        <v>5334077</v>
      </c>
      <c r="K11" s="143">
        <f t="shared" si="0"/>
        <v>101.9939978526883</v>
      </c>
      <c r="L11" s="115">
        <f>'2-1-3 旅客輸送機関分担率推移'!AB11</f>
        <v>412750</v>
      </c>
      <c r="M11" s="415">
        <f t="shared" si="1"/>
        <v>98.199458505227</v>
      </c>
      <c r="N11" s="420">
        <f>'2-1-3 旅客輸送機関分担率推移'!AC11</f>
        <v>27663</v>
      </c>
      <c r="O11" s="143">
        <f t="shared" si="2"/>
        <v>98.61328960501925</v>
      </c>
      <c r="P11" s="115">
        <f>'2-1-3 旅客輸送機関分担率推移'!AD11</f>
        <v>166572</v>
      </c>
      <c r="Q11" s="415">
        <f t="shared" si="3"/>
        <v>102.32575282886735</v>
      </c>
      <c r="R11" s="420">
        <f>'2-1-3 旅客輸送機関分担率推移'!AF11</f>
        <v>184099</v>
      </c>
      <c r="S11" s="143">
        <f t="shared" si="4"/>
        <v>96.4242690885474</v>
      </c>
      <c r="T11" s="115">
        <f>'2-1-3 旅客輸送機関分担率推移'!AG11</f>
        <v>3067926</v>
      </c>
      <c r="U11" s="415">
        <f t="shared" si="5"/>
        <v>101.97415152168847</v>
      </c>
      <c r="V11" s="420">
        <f>'2-1-3 旅客輸送機関分担率推移'!AH11</f>
        <v>1234755</v>
      </c>
      <c r="W11" s="414"/>
      <c r="X11" s="143"/>
      <c r="Y11" s="115">
        <f>'2-1-3 旅客輸送機関分担率推移'!AI11</f>
        <v>240312</v>
      </c>
      <c r="Z11" s="415">
        <f t="shared" si="6"/>
        <v>100.41534694423319</v>
      </c>
      <c r="AA11" s="459">
        <v>6497084</v>
      </c>
      <c r="AB11" s="201">
        <v>7490685</v>
      </c>
      <c r="AC11" s="176">
        <f t="shared" si="8"/>
        <v>86.73551217278526</v>
      </c>
      <c r="AD11" s="199">
        <v>609514</v>
      </c>
      <c r="AE11" s="206">
        <v>1245838</v>
      </c>
      <c r="AF11" s="63">
        <f t="shared" si="9"/>
        <v>48.924017408362886</v>
      </c>
      <c r="AG11" s="200">
        <v>851435345</v>
      </c>
      <c r="AH11" s="463">
        <v>1307114752</v>
      </c>
      <c r="AI11" s="192">
        <f t="shared" si="7"/>
        <v>65.13853077529951</v>
      </c>
      <c r="AJ11" s="164"/>
      <c r="AK11" s="119"/>
      <c r="AL11" s="145">
        <v>34973</v>
      </c>
      <c r="AM11" s="129">
        <v>718809</v>
      </c>
    </row>
    <row r="12" spans="2:39" ht="10.5">
      <c r="B12" s="67" t="s">
        <v>2</v>
      </c>
      <c r="C12" s="414">
        <f>C4</f>
        <v>-3.8</v>
      </c>
      <c r="D12" s="166">
        <f>10*D4-858</f>
        <v>6.599999999999909</v>
      </c>
      <c r="E12" s="63">
        <f>E4-56</f>
        <v>-7.82</v>
      </c>
      <c r="I12" s="67" t="s">
        <v>57</v>
      </c>
      <c r="J12" s="420">
        <f t="shared" si="10"/>
        <v>5139268</v>
      </c>
      <c r="K12" s="143">
        <f t="shared" si="0"/>
        <v>99.04580634480673</v>
      </c>
      <c r="L12" s="115">
        <f>'2-1-3 旅客輸送機関分担率推移'!AB12</f>
        <v>402645</v>
      </c>
      <c r="M12" s="415">
        <f t="shared" si="1"/>
        <v>98.39929617908332</v>
      </c>
      <c r="N12" s="420">
        <f>'2-1-3 旅客輸送機関分担率推移'!AC12</f>
        <v>25038</v>
      </c>
      <c r="O12" s="143">
        <f t="shared" si="2"/>
        <v>101.61938390356751</v>
      </c>
      <c r="P12" s="115">
        <f>'2-1-3 旅客輸送機関分担率推移'!AD12</f>
        <v>143062</v>
      </c>
      <c r="Q12" s="415">
        <f t="shared" si="3"/>
        <v>89.1452000847447</v>
      </c>
      <c r="R12" s="420">
        <f>'2-1-3 旅客輸送機関分担率推移'!AF12</f>
        <v>193689</v>
      </c>
      <c r="S12" s="143">
        <f t="shared" si="4"/>
        <v>97.87413590977079</v>
      </c>
      <c r="T12" s="115">
        <f>'2-1-3 旅客輸送機関分担率推移'!AG12</f>
        <v>2914600</v>
      </c>
      <c r="U12" s="415">
        <f t="shared" si="5"/>
        <v>97.04432021362669</v>
      </c>
      <c r="V12" s="420">
        <f>'2-1-3 旅客輸送機関分担率推移'!AH12</f>
        <v>1250615</v>
      </c>
      <c r="W12" s="414"/>
      <c r="X12" s="143"/>
      <c r="Y12" s="115">
        <f>'2-1-3 旅客輸送機関分担率推移'!AI12</f>
        <v>209619</v>
      </c>
      <c r="Z12" s="415">
        <f t="shared" si="6"/>
        <v>96.45105184694384</v>
      </c>
      <c r="AA12" s="459">
        <v>6573859</v>
      </c>
      <c r="AB12" s="201">
        <v>7702950</v>
      </c>
      <c r="AC12" s="176">
        <f t="shared" si="8"/>
        <v>85.34209620989361</v>
      </c>
      <c r="AD12" s="199">
        <v>647025</v>
      </c>
      <c r="AE12" s="206">
        <v>1328687</v>
      </c>
      <c r="AF12" s="63">
        <f t="shared" si="9"/>
        <v>48.69657037360944</v>
      </c>
      <c r="AG12" s="200">
        <v>839845189</v>
      </c>
      <c r="AH12" s="463">
        <v>1266327510</v>
      </c>
      <c r="AI12" s="192">
        <f t="shared" si="7"/>
        <v>66.32132543657683</v>
      </c>
      <c r="AJ12" s="164"/>
      <c r="AK12" s="144"/>
      <c r="AL12" s="145">
        <v>35004</v>
      </c>
      <c r="AM12" s="129">
        <v>703745</v>
      </c>
    </row>
    <row r="13" spans="2:39" ht="10.5">
      <c r="B13" s="67" t="s">
        <v>3</v>
      </c>
      <c r="C13" s="414">
        <f>C5</f>
        <v>-3.5</v>
      </c>
      <c r="D13" s="166">
        <f>10*D5-858</f>
        <v>1.3999999999999773</v>
      </c>
      <c r="E13" s="63">
        <f>E5-56</f>
        <v>-8.600000000000001</v>
      </c>
      <c r="I13" s="67" t="s">
        <v>58</v>
      </c>
      <c r="J13" s="420">
        <f t="shared" si="10"/>
        <v>5384309</v>
      </c>
      <c r="K13" s="143">
        <f t="shared" si="0"/>
        <v>101.25761739304431</v>
      </c>
      <c r="L13" s="115">
        <f>'2-1-3 旅客輸送機関分担率推移'!AB13</f>
        <v>393325</v>
      </c>
      <c r="M13" s="415">
        <f t="shared" si="1"/>
        <v>99.44956030563688</v>
      </c>
      <c r="N13" s="420">
        <f>'2-1-3 旅客輸送機関分担率推移'!AC13</f>
        <v>16448</v>
      </c>
      <c r="O13" s="143">
        <f t="shared" si="2"/>
        <v>106.65974969197846</v>
      </c>
      <c r="P13" s="115">
        <f>'2-1-3 旅客輸送機関分担率推移'!AD13</f>
        <v>113929</v>
      </c>
      <c r="Q13" s="415">
        <f t="shared" si="3"/>
        <v>100.27725456369814</v>
      </c>
      <c r="R13" s="420">
        <f>'2-1-3 旅客輸送機関分担率推移'!AF13</f>
        <v>221772</v>
      </c>
      <c r="S13" s="143">
        <f t="shared" si="4"/>
        <v>99.93736227586734</v>
      </c>
      <c r="T13" s="115">
        <f>'2-1-3 旅客輸送機関分担率推移'!AG13</f>
        <v>3177283</v>
      </c>
      <c r="U13" s="415">
        <f t="shared" si="5"/>
        <v>101.22449382703462</v>
      </c>
      <c r="V13" s="420">
        <f>'2-1-3 旅客輸送機関分担率推移'!AH13</f>
        <v>1255018</v>
      </c>
      <c r="W13" s="414"/>
      <c r="X13" s="143"/>
      <c r="Y13" s="115">
        <f>'2-1-3 旅客輸送機関分担率推移'!AI13</f>
        <v>206534</v>
      </c>
      <c r="Z13" s="415">
        <f t="shared" si="6"/>
        <v>100.25143678160919</v>
      </c>
      <c r="AA13" s="459">
        <v>6983869</v>
      </c>
      <c r="AB13" s="201">
        <v>7956460</v>
      </c>
      <c r="AC13" s="176">
        <f t="shared" si="8"/>
        <v>87.77608383627896</v>
      </c>
      <c r="AD13" s="199">
        <v>736730</v>
      </c>
      <c r="AE13" s="206">
        <v>1503725</v>
      </c>
      <c r="AF13" s="63">
        <f t="shared" si="9"/>
        <v>48.99366573010357</v>
      </c>
      <c r="AG13" s="200">
        <v>869521639</v>
      </c>
      <c r="AH13" s="463">
        <v>1310157681</v>
      </c>
      <c r="AI13" s="192">
        <f t="shared" si="7"/>
        <v>66.3677091398894</v>
      </c>
      <c r="AJ13" s="164"/>
      <c r="AK13" s="144"/>
      <c r="AL13" s="145">
        <v>35034</v>
      </c>
      <c r="AM13" s="129">
        <v>781911</v>
      </c>
    </row>
    <row r="14" spans="2:40" ht="10.5">
      <c r="B14" s="67" t="s">
        <v>10</v>
      </c>
      <c r="C14" s="143">
        <f>C6</f>
        <v>-3.697733128753228</v>
      </c>
      <c r="D14" s="166">
        <f>10*D6-858</f>
        <v>3.591815183327185</v>
      </c>
      <c r="E14" s="63">
        <f>E6-56</f>
        <v>-9.058877354207048</v>
      </c>
      <c r="I14" s="67" t="s">
        <v>59</v>
      </c>
      <c r="J14" s="420">
        <f t="shared" si="10"/>
        <v>4981352</v>
      </c>
      <c r="K14" s="143">
        <f t="shared" si="0"/>
        <v>98.33251214412503</v>
      </c>
      <c r="L14" s="115">
        <f>'2-1-3 旅客輸送機関分担率推移'!AB14</f>
        <v>388242</v>
      </c>
      <c r="M14" s="415">
        <f t="shared" si="1"/>
        <v>98.59938997909879</v>
      </c>
      <c r="N14" s="420">
        <f>'2-1-3 旅客輸送機関分担率推移'!AC14</f>
        <v>16862</v>
      </c>
      <c r="O14" s="143">
        <f t="shared" si="2"/>
        <v>103.05586114166971</v>
      </c>
      <c r="P14" s="115">
        <f>'2-1-3 旅客輸送機関分担率推移'!AD14</f>
        <v>106804</v>
      </c>
      <c r="Q14" s="415">
        <f t="shared" si="3"/>
        <v>88.94700023318565</v>
      </c>
      <c r="R14" s="420">
        <f>'2-1-3 旅客輸送機関分担率推移'!AF14</f>
        <v>208914</v>
      </c>
      <c r="S14" s="143">
        <f t="shared" si="4"/>
        <v>97.20728098419848</v>
      </c>
      <c r="T14" s="115">
        <f>'2-1-3 旅客輸送機関分担率推移'!AG14</f>
        <v>2942131</v>
      </c>
      <c r="U14" s="415">
        <f t="shared" si="5"/>
        <v>97.07949572384193</v>
      </c>
      <c r="V14" s="420">
        <f>'2-1-3 旅客輸送機関分担率推移'!AH14</f>
        <v>1147360</v>
      </c>
      <c r="W14" s="414"/>
      <c r="X14" s="143"/>
      <c r="Y14" s="115">
        <f>'2-1-3 旅客輸送機関分担率推移'!AI14</f>
        <v>171039</v>
      </c>
      <c r="Z14" s="415">
        <f t="shared" si="6"/>
        <v>94.12641982918024</v>
      </c>
      <c r="AA14" s="506">
        <f>AA35*(SUM(AA$5:AA$13)/SUM(AA$26:AA$34))</f>
        <v>6804397.049937026</v>
      </c>
      <c r="AB14" s="507">
        <f>AB35*(SUM(AB$5:AB$13)/SUM(AB$26:AB$34))</f>
        <v>7892087.538742459</v>
      </c>
      <c r="AC14" s="176">
        <f t="shared" si="8"/>
        <v>86.21796218724218</v>
      </c>
      <c r="AD14" s="311">
        <f>AD35*(SUM(AD$5:AD$13)/SUM(AD$26:AD$34))</f>
        <v>679856.5093846685</v>
      </c>
      <c r="AE14" s="509">
        <f>AE35*(SUM(AE$5:AE$13)/SUM(AE$26:AE$34))</f>
        <v>1369203.3812766217</v>
      </c>
      <c r="AF14" s="63">
        <f t="shared" si="9"/>
        <v>49.65343488640687</v>
      </c>
      <c r="AG14" s="511">
        <f>AG35*(SUM(AG$5:AG$13)/SUM(AG$26:AG$34))</f>
        <v>846856385.1007717</v>
      </c>
      <c r="AH14" s="512">
        <f>AH35*(SUM(AH$5:AH$13)/SUM(AH$26:AH$34))</f>
        <v>1309391713.1362402</v>
      </c>
      <c r="AI14" s="192">
        <f t="shared" si="7"/>
        <v>64.67555710066247</v>
      </c>
      <c r="AJ14" s="164"/>
      <c r="AK14" s="144"/>
      <c r="AL14" s="145">
        <v>35065</v>
      </c>
      <c r="AM14" s="129">
        <v>709566</v>
      </c>
      <c r="AN14" s="58">
        <f>SUM(AM5:AM14)</f>
        <v>7423798</v>
      </c>
    </row>
    <row r="15" spans="2:39" ht="10.5">
      <c r="B15" s="67" t="s">
        <v>11</v>
      </c>
      <c r="C15" s="143">
        <f>C7</f>
        <v>-1.8525610080047272</v>
      </c>
      <c r="D15" s="166">
        <f>10*D7-858</f>
        <v>8.72753071729187</v>
      </c>
      <c r="E15" s="63">
        <f>E7-56</f>
        <v>-7.45033567658291</v>
      </c>
      <c r="I15" s="67" t="s">
        <v>60</v>
      </c>
      <c r="J15" s="420">
        <f t="shared" si="10"/>
        <v>4756483</v>
      </c>
      <c r="K15" s="143">
        <f t="shared" si="0"/>
        <v>99.48996698715943</v>
      </c>
      <c r="L15" s="115">
        <f>'2-1-3 旅客輸送機関分担率推移'!AB15</f>
        <v>360301</v>
      </c>
      <c r="M15" s="415">
        <f>L15/L36*100</f>
        <v>95.73612720141996</v>
      </c>
      <c r="N15" s="420">
        <f>'2-1-3 旅客輸送機関分担率推移'!AC15</f>
        <v>19091</v>
      </c>
      <c r="O15" s="143">
        <f>N15/N36*100</f>
        <v>98.24010703442598</v>
      </c>
      <c r="P15" s="115">
        <f>'2-1-3 旅客輸送機関分担率推移'!AD15</f>
        <v>136931</v>
      </c>
      <c r="Q15" s="415">
        <f>P15/P36*100</f>
        <v>86.39779416868048</v>
      </c>
      <c r="R15" s="420">
        <f>'2-1-3 旅客輸送機関分担率推移'!AF15</f>
        <v>183228</v>
      </c>
      <c r="S15" s="143">
        <f>R15/R36*100</f>
        <v>102.47249828026868</v>
      </c>
      <c r="T15" s="115">
        <f>'2-1-3 旅客輸送機関分担率推移'!AG15</f>
        <v>2738150</v>
      </c>
      <c r="U15" s="415">
        <f>T15/T36*100</f>
        <v>100.84799011169278</v>
      </c>
      <c r="V15" s="420">
        <f>'2-1-3 旅客輸送機関分担率推移'!AH15</f>
        <v>1110884</v>
      </c>
      <c r="W15" s="414"/>
      <c r="X15" s="143"/>
      <c r="Y15" s="115">
        <f>'2-1-3 旅客輸送機関分担率推移'!AI15</f>
        <v>207898</v>
      </c>
      <c r="Z15" s="143">
        <f t="shared" si="6"/>
        <v>95.09690463230216</v>
      </c>
      <c r="AA15" s="506">
        <f>AA36*(SUM(AA$5:AA$14)/SUM(AA$26:AA$35))</f>
        <v>6052771.502664677</v>
      </c>
      <c r="AB15" s="507">
        <f>AB36*(SUM(AB$5:AB$14)/SUM(AB$26:AB$35))</f>
        <v>6963919.07456933</v>
      </c>
      <c r="AC15" s="176">
        <f t="shared" si="8"/>
        <v>86.91616657017227</v>
      </c>
      <c r="AD15" s="311">
        <f>AD36*(SUM(AD$5:AD$14)/SUM(AD$26:AD$35))</f>
        <v>593503.6983651387</v>
      </c>
      <c r="AE15" s="509">
        <f>AE36*(SUM(AE$5:AE$14)/SUM(AE$26:AE$35))</f>
        <v>1181005.1349530318</v>
      </c>
      <c r="AF15" s="63">
        <f t="shared" si="9"/>
        <v>50.254116667218575</v>
      </c>
      <c r="AG15" s="511">
        <f>AG36*(SUM(AG$5:AG$14)/SUM(AG$26:AG$35))</f>
        <v>782142469.7947848</v>
      </c>
      <c r="AH15" s="512">
        <f>AH36*(SUM(AH$5:AH$14)/SUM(AH$26:AH$35))</f>
        <v>1224636312.411046</v>
      </c>
      <c r="AI15" s="192">
        <f t="shared" si="7"/>
        <v>63.867326312978115</v>
      </c>
      <c r="AJ15" s="164"/>
      <c r="AK15" s="144"/>
      <c r="AL15" s="145">
        <v>35096</v>
      </c>
      <c r="AM15" s="129">
        <v>704261</v>
      </c>
    </row>
    <row r="16" spans="2:40" ht="11.25" thickBot="1">
      <c r="B16" s="234" t="s">
        <v>184</v>
      </c>
      <c r="C16" s="453">
        <f>C8</f>
        <v>-0.5191101986817444</v>
      </c>
      <c r="D16" s="486">
        <f>10*D8-858</f>
        <v>10.70798569150054</v>
      </c>
      <c r="E16" s="485">
        <f>E8-56</f>
        <v>-6.633956798284785</v>
      </c>
      <c r="I16" s="233" t="s">
        <v>61</v>
      </c>
      <c r="J16" s="421">
        <f t="shared" si="10"/>
        <v>5460941</v>
      </c>
      <c r="K16" s="449">
        <f t="shared" si="0"/>
        <v>102.84411011011274</v>
      </c>
      <c r="L16" s="135">
        <f>'2-1-3 旅客輸送機関分担率推移'!AB16</f>
        <v>390423</v>
      </c>
      <c r="M16" s="450">
        <f>L16/L37*100</f>
        <v>94.7304441926428</v>
      </c>
      <c r="N16" s="421">
        <f>'2-1-3 旅客輸送機関分担率推移'!AC16</f>
        <v>18689</v>
      </c>
      <c r="O16" s="449">
        <f>N16/N37*100</f>
        <v>100.61372812920592</v>
      </c>
      <c r="P16" s="135">
        <f>'2-1-3 旅客輸送機関分担率推移'!AD16</f>
        <v>125062</v>
      </c>
      <c r="Q16" s="450">
        <f>P16/P37*100</f>
        <v>94.624941361621</v>
      </c>
      <c r="R16" s="421">
        <f>'2-1-3 旅客輸送機関分担率推移'!AF16</f>
        <v>218065</v>
      </c>
      <c r="S16" s="449">
        <f>R16/R37*100</f>
        <v>104.63319722276869</v>
      </c>
      <c r="T16" s="135">
        <f>'2-1-3 旅客輸送機関分担率推移'!AG16</f>
        <v>3158938</v>
      </c>
      <c r="U16" s="450">
        <f>T16/T37*100</f>
        <v>103.80047310811793</v>
      </c>
      <c r="V16" s="421">
        <f>'2-1-3 旅客輸送機関分担率推移'!AH16</f>
        <v>1337912</v>
      </c>
      <c r="W16" s="456"/>
      <c r="X16" s="449"/>
      <c r="Y16" s="135">
        <f>'2-1-3 旅客輸送機関分担率推移'!AI16</f>
        <v>211852</v>
      </c>
      <c r="Z16" s="450">
        <f t="shared" si="6"/>
        <v>95.72116644526979</v>
      </c>
      <c r="AA16" s="508">
        <f>AA37*(SUM(AA$5:AA$15)/SUM(AA$26:AA$36))</f>
        <v>6557462.965893642</v>
      </c>
      <c r="AB16" s="507">
        <f>AB37*(SUM(AB$5:AB$15)/SUM(AB$26:AB$36))</f>
        <v>7446307.295173797</v>
      </c>
      <c r="AC16" s="176">
        <f t="shared" si="8"/>
        <v>88.063287022062</v>
      </c>
      <c r="AD16" s="315">
        <f>AD37*(SUM(AD$5:AD$15)/SUM(AD$26:AD$36))</f>
        <v>699902.8412471964</v>
      </c>
      <c r="AE16" s="510">
        <f>AE37*(SUM(AE$5:AE$15)/SUM(AE$26:AE$36))</f>
        <v>1395348.4519068813</v>
      </c>
      <c r="AF16" s="194">
        <f t="shared" si="9"/>
        <v>50.15971747348916</v>
      </c>
      <c r="AG16" s="511">
        <f>AG37*(SUM(AG$5:AG$15)/SUM(AG$26:AG$36))</f>
        <v>858613345.6863115</v>
      </c>
      <c r="AH16" s="512">
        <f>AH37*(SUM(AH$5:AH$15)/SUM(AH$26:AH$36))</f>
        <v>1307025809.2648807</v>
      </c>
      <c r="AI16" s="192">
        <f t="shared" si="7"/>
        <v>65.69214927509557</v>
      </c>
      <c r="AJ16" s="164"/>
      <c r="AK16" s="144"/>
      <c r="AL16" s="145">
        <v>35125</v>
      </c>
      <c r="AM16" s="129">
        <v>773100</v>
      </c>
      <c r="AN16" s="58">
        <f>SUM(AM5:AM16)</f>
        <v>8901159</v>
      </c>
    </row>
    <row r="17" spans="2:39" ht="14.25" thickBot="1">
      <c r="B17" s="40"/>
      <c r="C17" s="73"/>
      <c r="D17" s="144"/>
      <c r="E17" s="143"/>
      <c r="I17" s="65" t="s">
        <v>118</v>
      </c>
      <c r="J17" s="422">
        <f t="shared" si="10"/>
        <v>62841290</v>
      </c>
      <c r="K17" s="453">
        <f t="shared" si="0"/>
        <v>101.28041996666066</v>
      </c>
      <c r="L17" s="138">
        <f>'2-1-3 旅客輸送機関分担率推移'!AB17</f>
        <v>4803027</v>
      </c>
      <c r="M17" s="69">
        <f>L17/L38*100</f>
        <v>97.28378632930468</v>
      </c>
      <c r="N17" s="422">
        <f>'2-1-3 旅客輸送機関分担率推移'!AC17</f>
        <v>254711</v>
      </c>
      <c r="O17" s="453">
        <f>N17/N38*100</f>
        <v>101.23085360909965</v>
      </c>
      <c r="P17" s="138">
        <f>'2-1-3 旅客輸送機関分担率推移'!AD17</f>
        <v>1577501</v>
      </c>
      <c r="Q17" s="69">
        <f>P17/P38*100</f>
        <v>94.15763440359606</v>
      </c>
      <c r="R17" s="422">
        <f>'2-1-3 旅客輸送機関分担率推移'!AF17</f>
        <v>2433069</v>
      </c>
      <c r="S17" s="453">
        <f>R17/R38*100</f>
        <v>98.66543875677773</v>
      </c>
      <c r="T17" s="138">
        <f>'2-1-3 旅客輸送機関分担率推移'!AG17</f>
        <v>36505013</v>
      </c>
      <c r="U17" s="69">
        <f>T17/T38*100</f>
        <v>101.44304732860438</v>
      </c>
      <c r="V17" s="422">
        <f>'2-1-3 旅客輸送機関分担率推移'!AH17</f>
        <v>14783055</v>
      </c>
      <c r="W17" s="61">
        <f>V17/V38*100</f>
        <v>104.46075366213677</v>
      </c>
      <c r="X17" s="453"/>
      <c r="Y17" s="138">
        <f>'2-1-3 旅客輸送機関分担率推移'!AI17</f>
        <v>2484914</v>
      </c>
      <c r="Z17" s="69">
        <f>Y17/Y38*100</f>
        <v>96.34351120473103</v>
      </c>
      <c r="AA17" s="460">
        <f>SUM(AA5:AA16)</f>
        <v>79927169.51849534</v>
      </c>
      <c r="AB17" s="461">
        <f>SUM(AB5:AB16)</f>
        <v>92006946.90848558</v>
      </c>
      <c r="AC17" s="182">
        <f aca="true" t="shared" si="11" ref="AC17:AI17">AVERAGE(AC5:AC16)</f>
        <v>86.88396355985735</v>
      </c>
      <c r="AD17" s="204">
        <f>SUM(AD5:AD16)</f>
        <v>8024665.048997004</v>
      </c>
      <c r="AE17" s="204">
        <f>SUM(AE5:AE16)</f>
        <v>16255434.968136534</v>
      </c>
      <c r="AF17" s="195">
        <f t="shared" si="11"/>
        <v>49.372834481757984</v>
      </c>
      <c r="AG17" s="211">
        <f>SUM(AG5:AG16)</f>
        <v>10210509595.58187</v>
      </c>
      <c r="AH17" s="461">
        <f>SUM(AH5:AH16)</f>
        <v>15399179679.812168</v>
      </c>
      <c r="AI17" s="196">
        <f t="shared" si="11"/>
        <v>66.30374709557056</v>
      </c>
      <c r="AJ17" s="164"/>
      <c r="AK17" s="144"/>
      <c r="AL17" s="145">
        <v>35156</v>
      </c>
      <c r="AM17" s="129">
        <v>747146</v>
      </c>
    </row>
    <row r="18" spans="2:38" ht="13.5">
      <c r="B18" s="40"/>
      <c r="C18" s="73"/>
      <c r="D18" s="144"/>
      <c r="E18" s="143"/>
      <c r="I18" s="40"/>
      <c r="J18" s="124"/>
      <c r="K18" s="143"/>
      <c r="L18" s="124"/>
      <c r="M18" s="143"/>
      <c r="N18" s="124"/>
      <c r="O18" s="143"/>
      <c r="P18" s="124"/>
      <c r="Q18" s="143"/>
      <c r="R18" s="124"/>
      <c r="S18" s="143"/>
      <c r="T18" s="124"/>
      <c r="U18" s="143"/>
      <c r="V18" s="124"/>
      <c r="W18" s="143"/>
      <c r="X18" s="143"/>
      <c r="Y18" s="124"/>
      <c r="Z18" s="143"/>
      <c r="AA18" s="143"/>
      <c r="AB18" s="143"/>
      <c r="AC18" s="144"/>
      <c r="AD18" s="144"/>
      <c r="AE18" s="144"/>
      <c r="AF18" s="144"/>
      <c r="AG18" s="144"/>
      <c r="AH18" s="144"/>
      <c r="AI18" s="144"/>
      <c r="AJ18" s="144"/>
      <c r="AK18" s="144"/>
      <c r="AL18" s="145"/>
    </row>
    <row r="19" spans="2:38" ht="13.5">
      <c r="B19" s="40"/>
      <c r="C19" s="73"/>
      <c r="D19" s="144"/>
      <c r="E19" s="143"/>
      <c r="I19" s="284" t="s">
        <v>119</v>
      </c>
      <c r="J19" s="212">
        <f>'2-1-3 旅客輸送機関分担率推移'!$Y$21</f>
        <v>62841290</v>
      </c>
      <c r="K19" s="213">
        <f>'2-1-3 旅客輸送機関分担率推移'!$Y$22+100</f>
        <v>101.28041996666066</v>
      </c>
      <c r="L19" s="212">
        <f>'2-1-3 旅客輸送機関分担率推移'!$AB$21</f>
        <v>4803027</v>
      </c>
      <c r="M19" s="213">
        <f>'2-1-3 旅客輸送機関分担率推移'!$AB$22+100</f>
        <v>97.28378632930468</v>
      </c>
      <c r="N19" s="212">
        <f>'2-1-3 旅客輸送機関分担率推移'!$AC$21</f>
        <v>254711</v>
      </c>
      <c r="O19" s="213">
        <f>'2-1-3 旅客輸送機関分担率推移'!$AC$22+100</f>
        <v>101.23085360909965</v>
      </c>
      <c r="P19" s="212">
        <f>'2-1-3 旅客輸送機関分担率推移'!$AD$21</f>
        <v>1577501</v>
      </c>
      <c r="Q19" s="213">
        <f>'2-1-3 旅客輸送機関分担率推移'!$AD$22+100</f>
        <v>94.15763440359606</v>
      </c>
      <c r="R19" s="212">
        <f>'2-1-3 旅客輸送機関分担率推移'!$AF$21</f>
        <v>2433069</v>
      </c>
      <c r="S19" s="213">
        <f>'2-1-3 旅客輸送機関分担率推移'!$AF$22+100</f>
        <v>98.66543875677773</v>
      </c>
      <c r="T19" s="214">
        <f>'2-1-3 旅客輸送機関分担率推移'!$AG$21</f>
        <v>36505013</v>
      </c>
      <c r="U19" s="215">
        <f>'2-1-3 旅客輸送機関分担率推移'!$AG$22+100</f>
        <v>101.44304732860438</v>
      </c>
      <c r="V19" s="216">
        <f>'2-1-3 旅客輸送機関分担率推移'!$AH$21</f>
        <v>14783055</v>
      </c>
      <c r="W19" s="217"/>
      <c r="X19" s="217"/>
      <c r="Y19" s="216">
        <f>'2-1-3 旅客輸送機関分担率推移'!$AI$21</f>
        <v>2484914</v>
      </c>
      <c r="Z19" s="215">
        <f>'2-1-3 旅客輸送機関分担率推移'!$AI$22+100</f>
        <v>96.34351120473103</v>
      </c>
      <c r="AA19" s="218">
        <f>AA17</f>
        <v>79927169.51849534</v>
      </c>
      <c r="AB19" s="219">
        <f>AB17</f>
        <v>92006946.90848558</v>
      </c>
      <c r="AC19" s="220">
        <f>AA19/AB19*100</f>
        <v>86.87079856915005</v>
      </c>
      <c r="AD19" s="219">
        <f>AD17</f>
        <v>8024665.048997004</v>
      </c>
      <c r="AE19" s="219">
        <f>AE17</f>
        <v>16255434.968136534</v>
      </c>
      <c r="AF19" s="220">
        <f>AD19/AE19*100</f>
        <v>49.366043201715215</v>
      </c>
      <c r="AG19" s="219">
        <f>AG17</f>
        <v>10210509595.58187</v>
      </c>
      <c r="AH19" s="219">
        <f>AH17</f>
        <v>15399179679.812168</v>
      </c>
      <c r="AI19" s="221">
        <f>AG19/AH19*100</f>
        <v>66.30554229435688</v>
      </c>
      <c r="AJ19" s="144"/>
      <c r="AK19" s="144"/>
      <c r="AL19" s="145"/>
    </row>
    <row r="20" spans="2:38" ht="13.5">
      <c r="B20" s="40"/>
      <c r="C20" s="73"/>
      <c r="D20" s="144"/>
      <c r="E20" s="143"/>
      <c r="I20" s="40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43"/>
      <c r="V20" s="124"/>
      <c r="W20" s="143"/>
      <c r="X20" s="143"/>
      <c r="Y20" s="124"/>
      <c r="Z20" s="143"/>
      <c r="AA20" s="143"/>
      <c r="AB20" s="143"/>
      <c r="AC20" s="144"/>
      <c r="AD20" s="144"/>
      <c r="AE20" s="144"/>
      <c r="AF20" s="144"/>
      <c r="AG20" s="144"/>
      <c r="AH20" s="144"/>
      <c r="AI20" s="144"/>
      <c r="AJ20" s="144"/>
      <c r="AK20" s="144"/>
      <c r="AL20" s="145"/>
    </row>
    <row r="21" spans="2:38" ht="13.5">
      <c r="B21" s="40"/>
      <c r="C21" s="73"/>
      <c r="D21" s="144"/>
      <c r="E21" s="143"/>
      <c r="AI21" s="40"/>
      <c r="AJ21" s="40"/>
      <c r="AK21" s="144"/>
      <c r="AL21" s="145"/>
    </row>
    <row r="22" spans="9:39" ht="11.25" thickBot="1">
      <c r="I22" s="2" t="s">
        <v>195</v>
      </c>
      <c r="AI22" s="40"/>
      <c r="AJ22" s="40"/>
      <c r="AK22" s="40"/>
      <c r="AL22" s="145">
        <v>35186</v>
      </c>
      <c r="AM22" s="129">
        <v>745661</v>
      </c>
    </row>
    <row r="23" spans="2:39" ht="11.25" thickBot="1">
      <c r="B23" s="9"/>
      <c r="C23" s="10" t="s">
        <v>94</v>
      </c>
      <c r="D23" s="10" t="s">
        <v>95</v>
      </c>
      <c r="E23" s="8" t="s">
        <v>81</v>
      </c>
      <c r="AI23" s="40"/>
      <c r="AJ23" s="40"/>
      <c r="AK23" s="40"/>
      <c r="AL23" s="145">
        <v>35217</v>
      </c>
      <c r="AM23" s="129">
        <v>710861</v>
      </c>
    </row>
    <row r="24" spans="2:39" ht="10.5">
      <c r="B24" s="67">
        <v>8</v>
      </c>
      <c r="C24" s="144">
        <f aca="true" t="shared" si="12" ref="C24:E28">C12</f>
        <v>-3.8</v>
      </c>
      <c r="D24" s="166">
        <f t="shared" si="12"/>
        <v>6.599999999999909</v>
      </c>
      <c r="E24" s="63">
        <f t="shared" si="12"/>
        <v>-7.82</v>
      </c>
      <c r="I24" s="42"/>
      <c r="J24" s="38" t="s">
        <v>97</v>
      </c>
      <c r="K24" s="38"/>
      <c r="L24" s="44" t="s">
        <v>98</v>
      </c>
      <c r="M24" s="39"/>
      <c r="N24" s="38" t="s">
        <v>99</v>
      </c>
      <c r="O24" s="38"/>
      <c r="P24" s="44" t="s">
        <v>100</v>
      </c>
      <c r="Q24" s="39"/>
      <c r="R24" s="38" t="s">
        <v>101</v>
      </c>
      <c r="S24" s="38"/>
      <c r="T24" s="44" t="s">
        <v>102</v>
      </c>
      <c r="U24" s="39"/>
      <c r="V24" s="38" t="s">
        <v>103</v>
      </c>
      <c r="W24" s="38"/>
      <c r="X24" s="38"/>
      <c r="Y24" s="44" t="s">
        <v>104</v>
      </c>
      <c r="Z24" s="39"/>
      <c r="AA24" s="161" t="s">
        <v>105</v>
      </c>
      <c r="AB24" s="173"/>
      <c r="AC24" s="173"/>
      <c r="AD24" s="173"/>
      <c r="AE24" s="173"/>
      <c r="AF24" s="162"/>
      <c r="AG24" s="188" t="s">
        <v>106</v>
      </c>
      <c r="AH24" s="173"/>
      <c r="AI24" s="189"/>
      <c r="AJ24" s="40"/>
      <c r="AK24" s="40"/>
      <c r="AL24" s="145">
        <v>35247</v>
      </c>
      <c r="AM24" s="129">
        <v>757598</v>
      </c>
    </row>
    <row r="25" spans="2:39" ht="11.25" thickBot="1">
      <c r="B25" s="67">
        <v>9</v>
      </c>
      <c r="C25" s="144">
        <f t="shared" si="12"/>
        <v>-3.5</v>
      </c>
      <c r="D25" s="166">
        <f t="shared" si="12"/>
        <v>1.3999999999999773</v>
      </c>
      <c r="E25" s="63">
        <f t="shared" si="12"/>
        <v>-8.600000000000001</v>
      </c>
      <c r="I25" s="7"/>
      <c r="J25" s="41" t="s">
        <v>108</v>
      </c>
      <c r="K25" s="41" t="s">
        <v>109</v>
      </c>
      <c r="L25" s="45" t="s">
        <v>110</v>
      </c>
      <c r="M25" s="4" t="s">
        <v>109</v>
      </c>
      <c r="N25" s="41" t="s">
        <v>111</v>
      </c>
      <c r="O25" s="41" t="s">
        <v>109</v>
      </c>
      <c r="P25" s="45" t="s">
        <v>110</v>
      </c>
      <c r="Q25" s="4" t="s">
        <v>109</v>
      </c>
      <c r="R25" s="41" t="s">
        <v>110</v>
      </c>
      <c r="S25" s="41" t="s">
        <v>109</v>
      </c>
      <c r="T25" s="45" t="s">
        <v>108</v>
      </c>
      <c r="U25" s="4" t="s">
        <v>109</v>
      </c>
      <c r="V25" s="41" t="s">
        <v>108</v>
      </c>
      <c r="W25" s="41" t="s">
        <v>120</v>
      </c>
      <c r="X25" s="41" t="s">
        <v>121</v>
      </c>
      <c r="Y25" s="45" t="s">
        <v>110</v>
      </c>
      <c r="Z25" s="4" t="s">
        <v>109</v>
      </c>
      <c r="AA25" s="185" t="s">
        <v>114</v>
      </c>
      <c r="AB25" s="178" t="s">
        <v>115</v>
      </c>
      <c r="AC25" s="177" t="s">
        <v>95</v>
      </c>
      <c r="AD25" s="187" t="s">
        <v>96</v>
      </c>
      <c r="AE25" s="184" t="s">
        <v>116</v>
      </c>
      <c r="AF25" s="186" t="s">
        <v>81</v>
      </c>
      <c r="AG25" s="190" t="s">
        <v>114</v>
      </c>
      <c r="AH25" s="184" t="s">
        <v>115</v>
      </c>
      <c r="AI25" s="191" t="s">
        <v>95</v>
      </c>
      <c r="AJ25" s="40"/>
      <c r="AK25" s="40"/>
      <c r="AL25" s="145">
        <v>35278</v>
      </c>
      <c r="AM25" s="129">
        <v>698199</v>
      </c>
    </row>
    <row r="26" spans="2:39" ht="10.5">
      <c r="B26" s="67">
        <v>10</v>
      </c>
      <c r="C26" s="144">
        <f t="shared" si="12"/>
        <v>-3.697733128753228</v>
      </c>
      <c r="D26" s="166">
        <f t="shared" si="12"/>
        <v>3.591815183327185</v>
      </c>
      <c r="E26" s="63">
        <f t="shared" si="12"/>
        <v>-9.058877354207048</v>
      </c>
      <c r="I26" s="67" t="s">
        <v>50</v>
      </c>
      <c r="J26" s="420">
        <f>L26+N26+P26+R26+T26+V26+Y26</f>
        <v>5113765</v>
      </c>
      <c r="K26" s="143">
        <f aca="true" t="shared" si="13" ref="K26:K38">J26/J47*100</f>
        <v>96.35821200383793</v>
      </c>
      <c r="L26" s="115">
        <f>'2-1-3 旅客輸送機関分担率推移'!AB26</f>
        <v>442784</v>
      </c>
      <c r="M26" s="415">
        <f aca="true" t="shared" si="14" ref="M26:M35">L26/L47*100</f>
        <v>93.4819922433322</v>
      </c>
      <c r="N26" s="420">
        <f>'2-1-3 旅客輸送機関分担率推移'!AC26</f>
        <v>19226</v>
      </c>
      <c r="O26" s="143">
        <f aca="true" t="shared" si="15" ref="O26:O35">N26/N47*100</f>
        <v>98.91953076764767</v>
      </c>
      <c r="P26" s="115">
        <f>'2-1-3 旅客輸送機関分担率推移'!AD26</f>
        <v>126392</v>
      </c>
      <c r="Q26" s="415">
        <f aca="true" t="shared" si="16" ref="Q26:Q35">P26/P47*100</f>
        <v>103.21084435734119</v>
      </c>
      <c r="R26" s="420">
        <f>'2-1-3 旅客輸送機関分担率推移'!AF26</f>
        <v>227340</v>
      </c>
      <c r="S26" s="143">
        <f aca="true" t="shared" si="17" ref="S26:S35">R26/R47*100</f>
        <v>104.38927179138675</v>
      </c>
      <c r="T26" s="115">
        <f>'2-1-3 旅客輸送機関分担率推移'!AG26</f>
        <v>2920268</v>
      </c>
      <c r="U26" s="415">
        <f aca="true" t="shared" si="18" ref="U26:U35">T26/T47*100</f>
        <v>93.83249352390291</v>
      </c>
      <c r="V26" s="420">
        <f>'2-1-3 旅客輸送機関分担率推移'!AH26</f>
        <v>1157000</v>
      </c>
      <c r="W26" s="448"/>
      <c r="X26" s="71"/>
      <c r="Y26" s="115">
        <f>'2-1-3 旅客輸送機関分担率推移'!AI26</f>
        <v>220755</v>
      </c>
      <c r="Z26" s="415">
        <f aca="true" t="shared" si="19" ref="Z26:Z37">Y26/Y47*100</f>
        <v>96.90014353625936</v>
      </c>
      <c r="AA26" s="457">
        <v>6810666</v>
      </c>
      <c r="AB26" s="458">
        <v>7734570</v>
      </c>
      <c r="AC26" s="180">
        <f>AA26/AB26*100</f>
        <v>88.0548757073761</v>
      </c>
      <c r="AD26" s="202">
        <v>697591</v>
      </c>
      <c r="AE26" s="205">
        <v>1448690</v>
      </c>
      <c r="AF26" s="181">
        <f>AD26/AE26*100</f>
        <v>48.15322808882508</v>
      </c>
      <c r="AG26" s="197">
        <v>843461276</v>
      </c>
      <c r="AH26" s="462">
        <v>1246084920</v>
      </c>
      <c r="AI26" s="193">
        <f aca="true" t="shared" si="20" ref="AI26:AI37">AG26/AH26*100</f>
        <v>67.68890807217215</v>
      </c>
      <c r="AJ26" s="40"/>
      <c r="AK26" s="40"/>
      <c r="AL26" s="145">
        <v>35309</v>
      </c>
      <c r="AM26" s="129">
        <v>672737</v>
      </c>
    </row>
    <row r="27" spans="2:39" ht="10.5">
      <c r="B27" s="67">
        <v>11</v>
      </c>
      <c r="C27" s="144">
        <f t="shared" si="12"/>
        <v>-1.8525610080047272</v>
      </c>
      <c r="D27" s="166">
        <f t="shared" si="12"/>
        <v>8.72753071729187</v>
      </c>
      <c r="E27" s="63">
        <f t="shared" si="12"/>
        <v>-7.45033567658291</v>
      </c>
      <c r="I27" s="67" t="s">
        <v>51</v>
      </c>
      <c r="J27" s="420">
        <f aca="true" t="shared" si="21" ref="J27:J38">L27+N27+P27+R27+T27+V27+Y27</f>
        <v>5153445</v>
      </c>
      <c r="K27" s="143">
        <f t="shared" si="13"/>
        <v>97.52180142203386</v>
      </c>
      <c r="L27" s="115">
        <f>'2-1-3 旅客輸送機関分担率推移'!AB27</f>
        <v>414828</v>
      </c>
      <c r="M27" s="415">
        <f t="shared" si="14"/>
        <v>92.78919172827219</v>
      </c>
      <c r="N27" s="420">
        <f>'2-1-3 旅客輸送機関分担率推移'!AC27</f>
        <v>24787</v>
      </c>
      <c r="O27" s="143">
        <f t="shared" si="15"/>
        <v>99.92340562767072</v>
      </c>
      <c r="P27" s="115">
        <f>'2-1-3 旅客輸送機関分担率推移'!AD27</f>
        <v>138101</v>
      </c>
      <c r="Q27" s="415">
        <f t="shared" si="16"/>
        <v>112.47841668024108</v>
      </c>
      <c r="R27" s="420">
        <f>'2-1-3 旅客輸送機関分担率推移'!AF27</f>
        <v>206688</v>
      </c>
      <c r="S27" s="143">
        <f t="shared" si="17"/>
        <v>97.45710365379266</v>
      </c>
      <c r="T27" s="115">
        <f>'2-1-3 旅客輸送機関分担率推移'!AG27</f>
        <v>3001648</v>
      </c>
      <c r="U27" s="415">
        <f t="shared" si="18"/>
        <v>97.0546819502066</v>
      </c>
      <c r="V27" s="420">
        <f>'2-1-3 旅客輸送機関分担率推移'!AH27</f>
        <v>1162624</v>
      </c>
      <c r="W27" s="448"/>
      <c r="X27" s="71"/>
      <c r="Y27" s="115">
        <f>'2-1-3 旅客輸送機関分担率推移'!AI27</f>
        <v>204769</v>
      </c>
      <c r="Z27" s="415">
        <f t="shared" si="19"/>
        <v>91.50174049430933</v>
      </c>
      <c r="AA27" s="459">
        <v>6789778</v>
      </c>
      <c r="AB27" s="201">
        <v>7992544</v>
      </c>
      <c r="AC27" s="166">
        <f aca="true" t="shared" si="22" ref="AC27:AC37">AA27/AB27*100</f>
        <v>84.95139970452462</v>
      </c>
      <c r="AD27" s="199">
        <v>652186</v>
      </c>
      <c r="AE27" s="206">
        <v>1349257</v>
      </c>
      <c r="AF27" s="63">
        <f aca="true" t="shared" si="23" ref="AF27:AF37">AD27/AE27*100</f>
        <v>48.33667714897903</v>
      </c>
      <c r="AG27" s="200">
        <v>860643750</v>
      </c>
      <c r="AH27" s="463">
        <v>1288137327</v>
      </c>
      <c r="AI27" s="192">
        <f t="shared" si="20"/>
        <v>66.81304329596529</v>
      </c>
      <c r="AJ27" s="40"/>
      <c r="AK27" s="40"/>
      <c r="AL27" s="145">
        <v>35339</v>
      </c>
      <c r="AM27" s="129">
        <v>711474</v>
      </c>
    </row>
    <row r="28" spans="2:39" ht="11.25" thickBot="1">
      <c r="B28" s="65">
        <v>12</v>
      </c>
      <c r="C28" s="513">
        <f t="shared" si="12"/>
        <v>-0.5191101986817444</v>
      </c>
      <c r="D28" s="486">
        <f t="shared" si="12"/>
        <v>10.70798569150054</v>
      </c>
      <c r="E28" s="485">
        <f t="shared" si="12"/>
        <v>-6.633956798284785</v>
      </c>
      <c r="I28" s="67" t="s">
        <v>52</v>
      </c>
      <c r="J28" s="420">
        <f t="shared" si="21"/>
        <v>5138919</v>
      </c>
      <c r="K28" s="143">
        <f t="shared" si="13"/>
        <v>102.94556359527873</v>
      </c>
      <c r="L28" s="115">
        <f>'2-1-3 旅客輸送機関分担率推移'!AB28</f>
        <v>429638</v>
      </c>
      <c r="M28" s="415">
        <f t="shared" si="14"/>
        <v>95.72633957118572</v>
      </c>
      <c r="N28" s="420">
        <f>'2-1-3 旅客輸送機関分担率推移'!AC28</f>
        <v>23431</v>
      </c>
      <c r="O28" s="143">
        <f t="shared" si="15"/>
        <v>100.99133658031982</v>
      </c>
      <c r="P28" s="115">
        <f>'2-1-3 旅客輸送機関分担率推移'!AD28</f>
        <v>164495</v>
      </c>
      <c r="Q28" s="415">
        <f t="shared" si="16"/>
        <v>103.12325641170312</v>
      </c>
      <c r="R28" s="420">
        <f>'2-1-3 旅客輸送機関分担率推移'!AF28</f>
        <v>197271</v>
      </c>
      <c r="S28" s="143">
        <f t="shared" si="17"/>
        <v>99.81380193180496</v>
      </c>
      <c r="T28" s="115">
        <f>'2-1-3 旅客輸送機関分担率推移'!AG28</f>
        <v>2935261</v>
      </c>
      <c r="U28" s="415">
        <f t="shared" si="18"/>
        <v>103.74454461785109</v>
      </c>
      <c r="V28" s="420">
        <f>'2-1-3 旅客輸送機関分担率推移'!AH28</f>
        <v>1148821</v>
      </c>
      <c r="W28" s="448"/>
      <c r="X28" s="71"/>
      <c r="Y28" s="115">
        <f>'2-1-3 旅客輸送機関分担率推移'!AI28</f>
        <v>240002</v>
      </c>
      <c r="Z28" s="415">
        <f t="shared" si="19"/>
        <v>100.68127092265226</v>
      </c>
      <c r="AA28" s="459">
        <v>6808131</v>
      </c>
      <c r="AB28" s="201">
        <v>7733940</v>
      </c>
      <c r="AC28" s="166">
        <f t="shared" si="22"/>
        <v>88.02927097960419</v>
      </c>
      <c r="AD28" s="199">
        <v>651652</v>
      </c>
      <c r="AE28" s="206">
        <v>1355803</v>
      </c>
      <c r="AF28" s="63">
        <f t="shared" si="23"/>
        <v>48.06391489029011</v>
      </c>
      <c r="AG28" s="200">
        <v>847027395</v>
      </c>
      <c r="AH28" s="463">
        <v>1247942370</v>
      </c>
      <c r="AI28" s="192">
        <f t="shared" si="20"/>
        <v>67.87391912977519</v>
      </c>
      <c r="AJ28" s="40"/>
      <c r="AK28" s="40"/>
      <c r="AL28" s="145">
        <v>35370</v>
      </c>
      <c r="AM28" s="129">
        <v>687018</v>
      </c>
    </row>
    <row r="29" spans="2:39" ht="13.5">
      <c r="B29" s="40"/>
      <c r="C29" s="172"/>
      <c r="D29" s="172"/>
      <c r="E29" s="172"/>
      <c r="I29" s="67" t="s">
        <v>53</v>
      </c>
      <c r="J29" s="420">
        <f t="shared" si="21"/>
        <v>5372647</v>
      </c>
      <c r="K29" s="143">
        <f t="shared" si="13"/>
        <v>97.4381672223528</v>
      </c>
      <c r="L29" s="115">
        <f>'2-1-3 旅客輸送機関分担率推移'!AB29</f>
        <v>423160</v>
      </c>
      <c r="M29" s="415">
        <f t="shared" si="14"/>
        <v>95.75900484497659</v>
      </c>
      <c r="N29" s="420">
        <f>'2-1-3 旅客輸送機関分担率推移'!AC29</f>
        <v>22495</v>
      </c>
      <c r="O29" s="143">
        <f t="shared" si="15"/>
        <v>102.00888808271358</v>
      </c>
      <c r="P29" s="115">
        <f>'2-1-3 旅客輸送機関分担率推移'!AD29</f>
        <v>157085</v>
      </c>
      <c r="Q29" s="415">
        <f t="shared" si="16"/>
        <v>105.60123157180024</v>
      </c>
      <c r="R29" s="420">
        <f>'2-1-3 旅客輸送機関分担率推移'!AF29</f>
        <v>212066</v>
      </c>
      <c r="S29" s="143">
        <f t="shared" si="17"/>
        <v>95.61955262173043</v>
      </c>
      <c r="T29" s="115">
        <f>'2-1-3 旅客輸送機関分担率推移'!AG29</f>
        <v>3103615</v>
      </c>
      <c r="U29" s="415">
        <f t="shared" si="18"/>
        <v>94.85149803886092</v>
      </c>
      <c r="V29" s="420">
        <f>'2-1-3 旅客輸送機関分担率推移'!AH29</f>
        <v>1227864</v>
      </c>
      <c r="W29" s="448"/>
      <c r="X29" s="71"/>
      <c r="Y29" s="115">
        <f>'2-1-3 旅客輸送機関分担率推移'!AI29</f>
        <v>226362</v>
      </c>
      <c r="Z29" s="415">
        <f t="shared" si="19"/>
        <v>94.41191191191191</v>
      </c>
      <c r="AA29" s="459">
        <v>6987243</v>
      </c>
      <c r="AB29" s="201">
        <v>7988731</v>
      </c>
      <c r="AC29" s="166">
        <f t="shared" si="22"/>
        <v>87.46374111232434</v>
      </c>
      <c r="AD29" s="199">
        <v>694500</v>
      </c>
      <c r="AE29" s="206">
        <v>1442568</v>
      </c>
      <c r="AF29" s="63">
        <f t="shared" si="23"/>
        <v>48.143311095213534</v>
      </c>
      <c r="AG29" s="200">
        <v>897771049</v>
      </c>
      <c r="AH29" s="463">
        <v>1292404229</v>
      </c>
      <c r="AI29" s="192">
        <f t="shared" si="20"/>
        <v>69.46518967170603</v>
      </c>
      <c r="AJ29" s="40"/>
      <c r="AK29" s="40"/>
      <c r="AL29" s="145">
        <v>35400</v>
      </c>
      <c r="AM29" s="129">
        <v>724851</v>
      </c>
    </row>
    <row r="30" spans="2:39" ht="13.5">
      <c r="B30" s="40"/>
      <c r="C30" s="172"/>
      <c r="D30" s="172"/>
      <c r="E30" s="172"/>
      <c r="I30" s="67" t="s">
        <v>54</v>
      </c>
      <c r="J30" s="420">
        <f t="shared" si="21"/>
        <v>5131473</v>
      </c>
      <c r="K30" s="143">
        <f t="shared" si="13"/>
        <v>99.9179078016601</v>
      </c>
      <c r="L30" s="115">
        <f>'2-1-3 旅客輸送機関分担率推移'!AB30</f>
        <v>397470</v>
      </c>
      <c r="M30" s="415">
        <f t="shared" si="14"/>
        <v>96.1372871517028</v>
      </c>
      <c r="N30" s="420">
        <f>'2-1-3 旅客輸送機関分担率推移'!AC30</f>
        <v>19013</v>
      </c>
      <c r="O30" s="143">
        <f t="shared" si="15"/>
        <v>103.50027218290691</v>
      </c>
      <c r="P30" s="115">
        <f>'2-1-3 旅客輸送機関分担率推移'!AD30</f>
        <v>100233</v>
      </c>
      <c r="Q30" s="415">
        <f t="shared" si="16"/>
        <v>98.00725523364395</v>
      </c>
      <c r="R30" s="420">
        <f>'2-1-3 旅客輸送機関分担率推移'!AF30</f>
        <v>208490</v>
      </c>
      <c r="S30" s="143">
        <f t="shared" si="17"/>
        <v>94.86606635027961</v>
      </c>
      <c r="T30" s="115">
        <f>'2-1-3 旅客輸送機関分担率推移'!AG30</f>
        <v>3009558</v>
      </c>
      <c r="U30" s="415">
        <f t="shared" si="18"/>
        <v>100.68748538395167</v>
      </c>
      <c r="V30" s="420">
        <f>'2-1-3 旅客輸送機関分担率推移'!AH30</f>
        <v>1196347</v>
      </c>
      <c r="W30" s="448"/>
      <c r="X30" s="71"/>
      <c r="Y30" s="115">
        <f>'2-1-3 旅客輸送機関分担率推移'!AI30</f>
        <v>200362</v>
      </c>
      <c r="Z30" s="415">
        <f t="shared" si="19"/>
        <v>95.1178754877852</v>
      </c>
      <c r="AA30" s="459">
        <v>6689124</v>
      </c>
      <c r="AB30" s="201">
        <v>7550484</v>
      </c>
      <c r="AC30" s="166">
        <f t="shared" si="22"/>
        <v>88.59198959960712</v>
      </c>
      <c r="AD30" s="199">
        <v>666812</v>
      </c>
      <c r="AE30" s="206">
        <v>1387540</v>
      </c>
      <c r="AF30" s="63">
        <f t="shared" si="23"/>
        <v>48.057137091543304</v>
      </c>
      <c r="AG30" s="200">
        <v>871861799</v>
      </c>
      <c r="AH30" s="463">
        <v>1293880759</v>
      </c>
      <c r="AI30" s="192">
        <f t="shared" si="20"/>
        <v>67.38347354928091</v>
      </c>
      <c r="AJ30" s="40"/>
      <c r="AK30" s="40"/>
      <c r="AL30" s="145">
        <v>35431</v>
      </c>
      <c r="AM30" s="129">
        <v>683789</v>
      </c>
    </row>
    <row r="31" spans="2:40" ht="13.5">
      <c r="B31" s="40"/>
      <c r="C31" s="172"/>
      <c r="D31" s="172"/>
      <c r="E31" s="172"/>
      <c r="I31" s="67" t="s">
        <v>55</v>
      </c>
      <c r="J31" s="420">
        <f t="shared" si="21"/>
        <v>5243959</v>
      </c>
      <c r="K31" s="143">
        <f t="shared" si="13"/>
        <v>99.39952286339586</v>
      </c>
      <c r="L31" s="115">
        <f>'2-1-3 旅客輸送機関分担率推移'!AB31</f>
        <v>421989</v>
      </c>
      <c r="M31" s="415">
        <f t="shared" si="14"/>
        <v>95.51800629258244</v>
      </c>
      <c r="N31" s="420">
        <f>'2-1-3 旅客輸送機関分担率推移'!AC31</f>
        <v>20180</v>
      </c>
      <c r="O31" s="143">
        <f t="shared" si="15"/>
        <v>99.77750309023486</v>
      </c>
      <c r="P31" s="115">
        <f>'2-1-3 旅客輸送機関分担率推移'!AD31</f>
        <v>141464</v>
      </c>
      <c r="Q31" s="415">
        <f t="shared" si="16"/>
        <v>102.94430132879245</v>
      </c>
      <c r="R31" s="420">
        <f>'2-1-3 旅客輸送機関分担率推移'!AF31</f>
        <v>201259</v>
      </c>
      <c r="S31" s="143">
        <f t="shared" si="17"/>
        <v>100.63402853128392</v>
      </c>
      <c r="T31" s="115">
        <f>'2-1-3 旅客輸送機関分担率推移'!AG31</f>
        <v>3075575</v>
      </c>
      <c r="U31" s="415">
        <f t="shared" si="18"/>
        <v>99.7120724043397</v>
      </c>
      <c r="V31" s="420">
        <f>'2-1-3 旅客輸送機関分担率推移'!AH31</f>
        <v>1180836</v>
      </c>
      <c r="W31" s="448"/>
      <c r="X31" s="71"/>
      <c r="Y31" s="115">
        <f>'2-1-3 旅客輸送機関分担率推移'!AI31</f>
        <v>202656</v>
      </c>
      <c r="Z31" s="415">
        <f t="shared" si="19"/>
        <v>92.70249623757485</v>
      </c>
      <c r="AA31" s="459">
        <v>6674797</v>
      </c>
      <c r="AB31" s="201">
        <v>7724040</v>
      </c>
      <c r="AC31" s="166">
        <f t="shared" si="22"/>
        <v>86.41587821917028</v>
      </c>
      <c r="AD31" s="199">
        <v>646097</v>
      </c>
      <c r="AE31" s="206">
        <v>1344960</v>
      </c>
      <c r="AF31" s="63">
        <f t="shared" si="23"/>
        <v>48.038380323578394</v>
      </c>
      <c r="AG31" s="200">
        <v>871492250</v>
      </c>
      <c r="AH31" s="463">
        <v>1253892750</v>
      </c>
      <c r="AI31" s="192">
        <f t="shared" si="20"/>
        <v>69.50293396305226</v>
      </c>
      <c r="AJ31" s="40"/>
      <c r="AK31" s="40"/>
      <c r="AL31" s="145">
        <v>35462</v>
      </c>
      <c r="AN31" s="58">
        <f>SUM(AM17:AM30)</f>
        <v>7139334</v>
      </c>
    </row>
    <row r="32" spans="2:38" ht="13.5">
      <c r="B32" s="40"/>
      <c r="C32" s="172"/>
      <c r="D32" s="172"/>
      <c r="E32" s="172"/>
      <c r="I32" s="67" t="s">
        <v>56</v>
      </c>
      <c r="J32" s="420">
        <f t="shared" si="21"/>
        <v>5229795</v>
      </c>
      <c r="K32" s="143">
        <f t="shared" si="13"/>
        <v>102.89874976069693</v>
      </c>
      <c r="L32" s="115">
        <f>'2-1-3 旅客輸送機関分担率推移'!AB32</f>
        <v>420318</v>
      </c>
      <c r="M32" s="415">
        <f t="shared" si="14"/>
        <v>93.48855520437374</v>
      </c>
      <c r="N32" s="420">
        <f>'2-1-3 旅客輸送機関分担率推移'!AC32</f>
        <v>28052</v>
      </c>
      <c r="O32" s="143">
        <f t="shared" si="15"/>
        <v>103.24242758823745</v>
      </c>
      <c r="P32" s="115">
        <f>'2-1-3 旅客輸送機関分担率推移'!AD32</f>
        <v>162786</v>
      </c>
      <c r="Q32" s="415">
        <f t="shared" si="16"/>
        <v>97.19089383907195</v>
      </c>
      <c r="R32" s="420">
        <f>'2-1-3 旅客輸送機関分担率推移'!AF32</f>
        <v>190926</v>
      </c>
      <c r="S32" s="143">
        <f t="shared" si="17"/>
        <v>97.07443563148261</v>
      </c>
      <c r="T32" s="115">
        <f>'2-1-3 旅客輸送機関分担率推移'!AG32</f>
        <v>3008533</v>
      </c>
      <c r="U32" s="415">
        <f t="shared" si="18"/>
        <v>103.57946887055375</v>
      </c>
      <c r="V32" s="420">
        <f>'2-1-3 旅客輸送機関分担率推移'!AH32</f>
        <v>1179862</v>
      </c>
      <c r="W32" s="448"/>
      <c r="X32" s="71"/>
      <c r="Y32" s="115">
        <f>'2-1-3 旅客輸送機関分担率推移'!AI32</f>
        <v>239318</v>
      </c>
      <c r="Z32" s="415">
        <f t="shared" si="19"/>
        <v>97.77659748324889</v>
      </c>
      <c r="AA32" s="459">
        <v>6827399</v>
      </c>
      <c r="AB32" s="201">
        <v>7977137</v>
      </c>
      <c r="AC32" s="166">
        <f t="shared" si="22"/>
        <v>85.58708468965746</v>
      </c>
      <c r="AD32" s="199">
        <v>648828</v>
      </c>
      <c r="AE32" s="206">
        <v>1331234</v>
      </c>
      <c r="AF32" s="63">
        <f t="shared" si="23"/>
        <v>48.73883930248176</v>
      </c>
      <c r="AG32" s="200">
        <v>850518249</v>
      </c>
      <c r="AH32" s="463">
        <v>1298162200</v>
      </c>
      <c r="AI32" s="192">
        <f t="shared" si="20"/>
        <v>65.51710171502452</v>
      </c>
      <c r="AJ32" s="40"/>
      <c r="AK32" s="40"/>
      <c r="AL32" s="145">
        <v>35490</v>
      </c>
    </row>
    <row r="33" spans="2:40" ht="13.5">
      <c r="B33" s="40"/>
      <c r="C33" s="172"/>
      <c r="D33" s="172"/>
      <c r="E33" s="172"/>
      <c r="I33" s="67" t="s">
        <v>57</v>
      </c>
      <c r="J33" s="420">
        <f t="shared" si="21"/>
        <v>5188779</v>
      </c>
      <c r="K33" s="143">
        <f t="shared" si="13"/>
        <v>102.95261795312986</v>
      </c>
      <c r="L33" s="115">
        <f>'2-1-3 旅客輸送機関分担率推移'!AB33</f>
        <v>409195</v>
      </c>
      <c r="M33" s="415">
        <f t="shared" si="14"/>
        <v>95.78534644194757</v>
      </c>
      <c r="N33" s="420">
        <f>'2-1-3 旅客輸送機関分担率推移'!AC33</f>
        <v>24639</v>
      </c>
      <c r="O33" s="143">
        <f t="shared" si="15"/>
        <v>101.2201133842741</v>
      </c>
      <c r="P33" s="115">
        <f>'2-1-3 旅客輸送機関分担率推移'!AD33</f>
        <v>160482</v>
      </c>
      <c r="Q33" s="415">
        <f t="shared" si="16"/>
        <v>99.20442111900303</v>
      </c>
      <c r="R33" s="420">
        <f>'2-1-3 旅客輸送機関分担率推移'!AF33</f>
        <v>197896</v>
      </c>
      <c r="S33" s="143">
        <f t="shared" si="17"/>
        <v>99.75803524619914</v>
      </c>
      <c r="T33" s="115">
        <f>'2-1-3 旅客輸送機関分担率推移'!AG33</f>
        <v>3003370</v>
      </c>
      <c r="U33" s="415">
        <f t="shared" si="18"/>
        <v>104.0637375103384</v>
      </c>
      <c r="V33" s="420">
        <f>'2-1-3 旅客輸送機関分担率推移'!AH33</f>
        <v>1175865</v>
      </c>
      <c r="W33" s="448"/>
      <c r="X33" s="71"/>
      <c r="Y33" s="115">
        <f>'2-1-3 旅客輸送機関分担率推移'!AI33</f>
        <v>217332</v>
      </c>
      <c r="Z33" s="415">
        <f t="shared" si="19"/>
        <v>95.83258004347769</v>
      </c>
      <c r="AA33" s="459">
        <v>6539856</v>
      </c>
      <c r="AB33" s="201">
        <v>7719180</v>
      </c>
      <c r="AC33" s="166">
        <f t="shared" si="22"/>
        <v>84.72215960762671</v>
      </c>
      <c r="AD33" s="199">
        <v>650137</v>
      </c>
      <c r="AE33" s="206">
        <v>1333587</v>
      </c>
      <c r="AF33" s="63">
        <f t="shared" si="23"/>
        <v>48.75100012222674</v>
      </c>
      <c r="AG33" s="200">
        <v>848316578</v>
      </c>
      <c r="AH33" s="463">
        <v>1257573570</v>
      </c>
      <c r="AI33" s="192">
        <f t="shared" si="20"/>
        <v>67.45661631549716</v>
      </c>
      <c r="AJ33" s="40"/>
      <c r="AK33" s="40"/>
      <c r="AL33" s="145"/>
      <c r="AN33" s="116">
        <f>AN31*AN16/AN14</f>
        <v>8560085.698466742</v>
      </c>
    </row>
    <row r="34" spans="2:38" ht="13.5">
      <c r="B34" s="40"/>
      <c r="C34" s="172"/>
      <c r="D34" s="172"/>
      <c r="E34" s="172"/>
      <c r="I34" s="67" t="s">
        <v>58</v>
      </c>
      <c r="J34" s="420">
        <f t="shared" si="21"/>
        <v>5317436</v>
      </c>
      <c r="K34" s="143">
        <f t="shared" si="13"/>
        <v>101.46229583269731</v>
      </c>
      <c r="L34" s="115">
        <f>'2-1-3 旅客輸送機関分担率推移'!AB34</f>
        <v>395502</v>
      </c>
      <c r="M34" s="415">
        <f t="shared" si="14"/>
        <v>95.53419164714123</v>
      </c>
      <c r="N34" s="420">
        <f>'2-1-3 旅客輸送機関分担率推移'!AC34</f>
        <v>15421</v>
      </c>
      <c r="O34" s="143">
        <f t="shared" si="15"/>
        <v>103.45498456997181</v>
      </c>
      <c r="P34" s="115">
        <f>'2-1-3 旅客輸送機関分担率推移'!AD34</f>
        <v>113614</v>
      </c>
      <c r="Q34" s="415">
        <f t="shared" si="16"/>
        <v>98.49586905824931</v>
      </c>
      <c r="R34" s="420">
        <f>'2-1-3 旅客輸送機関分担率推移'!AF34</f>
        <v>221911</v>
      </c>
      <c r="S34" s="143">
        <f t="shared" si="17"/>
        <v>96.56029171163017</v>
      </c>
      <c r="T34" s="115">
        <f>'2-1-3 旅客輸送機関分担率推移'!AG34</f>
        <v>3138848</v>
      </c>
      <c r="U34" s="415">
        <f t="shared" si="18"/>
        <v>102.35406176823818</v>
      </c>
      <c r="V34" s="420">
        <f>'2-1-3 旅客輸送機関分担率推移'!AH34</f>
        <v>1226124</v>
      </c>
      <c r="W34" s="448"/>
      <c r="X34" s="71"/>
      <c r="Y34" s="115">
        <f>'2-1-3 旅客輸送機関分担率推移'!AI34</f>
        <v>206016</v>
      </c>
      <c r="Z34" s="415">
        <f t="shared" si="19"/>
        <v>92.20647274973258</v>
      </c>
      <c r="AA34" s="459">
        <v>6847943</v>
      </c>
      <c r="AB34" s="201">
        <v>7977137</v>
      </c>
      <c r="AC34" s="166">
        <f t="shared" si="22"/>
        <v>85.84462069536978</v>
      </c>
      <c r="AD34" s="199">
        <v>712708</v>
      </c>
      <c r="AE34" s="206">
        <v>1459338</v>
      </c>
      <c r="AF34" s="63">
        <f t="shared" si="23"/>
        <v>48.83776068326872</v>
      </c>
      <c r="AG34" s="200">
        <v>867178898</v>
      </c>
      <c r="AH34" s="463">
        <v>1300618423</v>
      </c>
      <c r="AI34" s="192">
        <f t="shared" si="20"/>
        <v>66.67435142120848</v>
      </c>
      <c r="AJ34" s="40"/>
      <c r="AK34" s="40"/>
      <c r="AL34" s="145"/>
    </row>
    <row r="35" spans="2:38" ht="13.5">
      <c r="B35" s="40"/>
      <c r="C35" s="172"/>
      <c r="D35" s="172"/>
      <c r="E35" s="172"/>
      <c r="I35" s="67" t="s">
        <v>59</v>
      </c>
      <c r="J35" s="420">
        <f t="shared" si="21"/>
        <v>5065824</v>
      </c>
      <c r="K35" s="143">
        <f t="shared" si="13"/>
        <v>102.87463987040513</v>
      </c>
      <c r="L35" s="115">
        <f>'2-1-3 旅客輸送機関分担率推移'!AB35</f>
        <v>393757</v>
      </c>
      <c r="M35" s="415">
        <f t="shared" si="14"/>
        <v>95.99006352905613</v>
      </c>
      <c r="N35" s="420">
        <f>'2-1-3 旅客輸送機関分担率推移'!AC35</f>
        <v>16362</v>
      </c>
      <c r="O35" s="143">
        <f t="shared" si="15"/>
        <v>100.44198895027625</v>
      </c>
      <c r="P35" s="115">
        <f>'2-1-3 旅客輸送機関分担率推移'!AD35</f>
        <v>120076</v>
      </c>
      <c r="Q35" s="415">
        <f t="shared" si="16"/>
        <v>94.7001482696615</v>
      </c>
      <c r="R35" s="420">
        <f>'2-1-3 旅客輸送機関分担率推移'!AF35</f>
        <v>214916</v>
      </c>
      <c r="S35" s="143">
        <f t="shared" si="17"/>
        <v>102.06634530904945</v>
      </c>
      <c r="T35" s="115">
        <f>'2-1-3 旅客輸送機関分担率推移'!AG35</f>
        <v>3030641</v>
      </c>
      <c r="U35" s="415">
        <f t="shared" si="18"/>
        <v>104.71515899516824</v>
      </c>
      <c r="V35" s="420">
        <f>'2-1-3 旅客輸送機関分担率推移'!AH35</f>
        <v>1108360</v>
      </c>
      <c r="W35" s="448"/>
      <c r="X35" s="71"/>
      <c r="Y35" s="115">
        <f>'2-1-3 旅客輸送機関分担率推移'!AI35</f>
        <v>181712</v>
      </c>
      <c r="Z35" s="415">
        <f t="shared" si="19"/>
        <v>94.05383022774328</v>
      </c>
      <c r="AA35" s="459">
        <v>6856392</v>
      </c>
      <c r="AB35" s="201">
        <v>7970565</v>
      </c>
      <c r="AC35" s="166">
        <f t="shared" si="22"/>
        <v>86.0214050070478</v>
      </c>
      <c r="AD35" s="199">
        <v>676386</v>
      </c>
      <c r="AE35" s="206">
        <v>1385120</v>
      </c>
      <c r="AF35" s="63">
        <f t="shared" si="23"/>
        <v>48.83230333833892</v>
      </c>
      <c r="AG35" s="200">
        <v>850735314</v>
      </c>
      <c r="AH35" s="463">
        <v>1300393363</v>
      </c>
      <c r="AI35" s="192">
        <f t="shared" si="20"/>
        <v>65.42138234521272</v>
      </c>
      <c r="AJ35" s="40"/>
      <c r="AK35" s="40"/>
      <c r="AL35" s="145"/>
    </row>
    <row r="36" spans="2:38" ht="13.5">
      <c r="B36" s="40"/>
      <c r="C36" s="172"/>
      <c r="D36" s="172"/>
      <c r="E36" s="172"/>
      <c r="I36" s="67" t="s">
        <v>60</v>
      </c>
      <c r="J36" s="420">
        <f t="shared" si="21"/>
        <v>4780867</v>
      </c>
      <c r="K36" s="143">
        <f t="shared" si="13"/>
        <v>103.37843462834948</v>
      </c>
      <c r="L36" s="115">
        <f>'2-1-3 旅客輸送機関分担率推移'!AB36</f>
        <v>376348</v>
      </c>
      <c r="M36" s="415">
        <f>L36/L57*100</f>
        <v>98.68989678610389</v>
      </c>
      <c r="N36" s="420">
        <f>'2-1-3 旅客輸送機関分担率推移'!AC36</f>
        <v>19433</v>
      </c>
      <c r="O36" s="143">
        <f>N36/N57*100</f>
        <v>104.78835265570234</v>
      </c>
      <c r="P36" s="115">
        <f>'2-1-3 旅客輸送機関分担率推移'!AD36</f>
        <v>158489</v>
      </c>
      <c r="Q36" s="415">
        <f>P36/P57*100</f>
        <v>114.1835132058616</v>
      </c>
      <c r="R36" s="420">
        <f>'2-1-3 旅客輸送機関分担率推移'!AF36</f>
        <v>178807</v>
      </c>
      <c r="S36" s="143">
        <f>R36/R57*100</f>
        <v>94.76532191388777</v>
      </c>
      <c r="T36" s="115">
        <f>'2-1-3 旅客輸送機関分担率推移'!AG36</f>
        <v>2715126</v>
      </c>
      <c r="U36" s="415">
        <f>T36/T57*100</f>
        <v>103.15185527953426</v>
      </c>
      <c r="V36" s="420">
        <f>'2-1-3 旅客輸送機関分担率推移'!AH36</f>
        <v>1114047</v>
      </c>
      <c r="W36" s="448"/>
      <c r="X36" s="71"/>
      <c r="Y36" s="115">
        <f>'2-1-3 旅客輸送機関分担率推移'!AI36</f>
        <v>218617</v>
      </c>
      <c r="Z36" s="415">
        <f t="shared" si="19"/>
        <v>96.52262983844976</v>
      </c>
      <c r="AA36" s="459">
        <v>6099023</v>
      </c>
      <c r="AB36" s="201">
        <v>7033167</v>
      </c>
      <c r="AC36" s="166">
        <f t="shared" si="22"/>
        <v>86.71801764411396</v>
      </c>
      <c r="AD36" s="199">
        <v>590474</v>
      </c>
      <c r="AE36" s="206">
        <v>1194734</v>
      </c>
      <c r="AF36" s="63">
        <f t="shared" si="23"/>
        <v>49.423051490959494</v>
      </c>
      <c r="AG36" s="200">
        <v>785724984</v>
      </c>
      <c r="AH36" s="463">
        <v>1216220415</v>
      </c>
      <c r="AI36" s="192">
        <f t="shared" si="20"/>
        <v>64.60383120604007</v>
      </c>
      <c r="AJ36" s="40"/>
      <c r="AK36" s="40"/>
      <c r="AL36" s="145"/>
    </row>
    <row r="37" spans="9:38" ht="10.5">
      <c r="I37" s="233" t="s">
        <v>61</v>
      </c>
      <c r="J37" s="421">
        <f t="shared" si="21"/>
        <v>5309921</v>
      </c>
      <c r="K37" s="449">
        <f t="shared" si="13"/>
        <v>97.99621518591137</v>
      </c>
      <c r="L37" s="135">
        <f>'2-1-3 旅客輸送機関分担率推移'!AB37</f>
        <v>412141</v>
      </c>
      <c r="M37" s="450">
        <f>L37/L58*100</f>
        <v>97.4900177882068</v>
      </c>
      <c r="N37" s="421">
        <f>'2-1-3 旅客輸送機関分担率推移'!AC37</f>
        <v>18575</v>
      </c>
      <c r="O37" s="449">
        <f>N37/N58*100</f>
        <v>100.62841974104772</v>
      </c>
      <c r="P37" s="135">
        <f>'2-1-3 旅客輸送機関分担率推移'!AD37</f>
        <v>132166</v>
      </c>
      <c r="Q37" s="450">
        <f>P37/P58*100</f>
        <v>106.22227223043785</v>
      </c>
      <c r="R37" s="421">
        <f>'2-1-3 旅客輸送機関分担率推移'!AF37</f>
        <v>208409</v>
      </c>
      <c r="S37" s="449">
        <v>99.28911820183158</v>
      </c>
      <c r="T37" s="135">
        <f>'2-1-3 旅客輸送機関分担率推移'!AG37</f>
        <v>3043279</v>
      </c>
      <c r="U37" s="450">
        <f>T37/T58*100</f>
        <v>95.83820668292901</v>
      </c>
      <c r="V37" s="421">
        <f>'2-1-3 旅客輸送機関分担率推移'!AH37</f>
        <v>1274029</v>
      </c>
      <c r="W37" s="451"/>
      <c r="X37" s="452"/>
      <c r="Y37" s="135">
        <f>'2-1-3 旅客輸送機関分担率推移'!AI37</f>
        <v>221322</v>
      </c>
      <c r="Z37" s="450">
        <f t="shared" si="19"/>
        <v>94.77808801109988</v>
      </c>
      <c r="AA37" s="498">
        <v>6607571</v>
      </c>
      <c r="AB37" s="201">
        <v>7520352</v>
      </c>
      <c r="AC37" s="166">
        <f t="shared" si="22"/>
        <v>87.86252292445886</v>
      </c>
      <c r="AD37" s="203">
        <v>696330</v>
      </c>
      <c r="AE37" s="207">
        <v>1411569</v>
      </c>
      <c r="AF37" s="194">
        <f t="shared" si="23"/>
        <v>49.33021340083269</v>
      </c>
      <c r="AG37" s="200">
        <v>862546126</v>
      </c>
      <c r="AH37" s="463">
        <v>1298043718</v>
      </c>
      <c r="AI37" s="192">
        <f t="shared" si="20"/>
        <v>66.4496976518629</v>
      </c>
      <c r="AJ37" s="40"/>
      <c r="AK37" s="40"/>
      <c r="AL37" s="145"/>
    </row>
    <row r="38" spans="9:38" ht="11.25" thickBot="1">
      <c r="I38" s="65" t="s">
        <v>122</v>
      </c>
      <c r="J38" s="422">
        <f t="shared" si="21"/>
        <v>62046830</v>
      </c>
      <c r="K38" s="453">
        <f t="shared" si="13"/>
        <v>100.3357952192669</v>
      </c>
      <c r="L38" s="138">
        <f>'2-1-3 旅客輸送機関分担率推移'!AB38</f>
        <v>4937130</v>
      </c>
      <c r="M38" s="69">
        <f>L38/L59*100</f>
        <v>95.46330193007908</v>
      </c>
      <c r="N38" s="422">
        <f>'2-1-3 旅客輸送機関分担率推移'!AC38</f>
        <v>251614</v>
      </c>
      <c r="O38" s="453">
        <f>N38/N59*100</f>
        <v>101.53791519876675</v>
      </c>
      <c r="P38" s="138">
        <f>'2-1-3 旅客輸送機関分担率推移'!AD38</f>
        <v>1675383</v>
      </c>
      <c r="Q38" s="69">
        <f>P38/P59*100</f>
        <v>102.92150389537949</v>
      </c>
      <c r="R38" s="422">
        <f>'2-1-3 旅客輸送機関分担率推移'!AF38</f>
        <v>2465979</v>
      </c>
      <c r="S38" s="453">
        <f>R38/R59*100</f>
        <v>98.05904270336688</v>
      </c>
      <c r="T38" s="138">
        <f>'2-1-3 旅客輸送機関分担率推移'!AG38</f>
        <v>35985722</v>
      </c>
      <c r="U38" s="69">
        <f>T38/T59*100</f>
        <v>100.1302961596343</v>
      </c>
      <c r="V38" s="422">
        <f>'2-1-3 旅客輸送機関分担率推移'!AH38</f>
        <v>14151779</v>
      </c>
      <c r="W38" s="61">
        <f>V38/V59*100</f>
        <v>103.82109714026808</v>
      </c>
      <c r="X38" s="72"/>
      <c r="Y38" s="138">
        <f>'2-1-3 旅客輸送機関分担率推移'!AI38</f>
        <v>2579223</v>
      </c>
      <c r="Z38" s="69">
        <f>Y38/Y59*100</f>
        <v>95.27349143647001</v>
      </c>
      <c r="AA38" s="210">
        <f>SUM(AA26:AA37)</f>
        <v>80537923</v>
      </c>
      <c r="AB38" s="204">
        <f>SUM(AB26:AB37)</f>
        <v>92921847</v>
      </c>
      <c r="AC38" s="183">
        <f aca="true" t="shared" si="24" ref="AC38:AI38">AVERAGE(AC26:AC37)</f>
        <v>86.68858049090677</v>
      </c>
      <c r="AD38" s="204">
        <f>SUM(AD26:AD37)</f>
        <v>7983701</v>
      </c>
      <c r="AE38" s="204">
        <f>SUM(AE26:AE37)</f>
        <v>16444400</v>
      </c>
      <c r="AF38" s="195">
        <f t="shared" si="24"/>
        <v>48.55881808137815</v>
      </c>
      <c r="AG38" s="211">
        <f>SUM(AG26:AG37)</f>
        <v>10257277668</v>
      </c>
      <c r="AH38" s="204">
        <f>SUM(AH26:AH37)</f>
        <v>15293354044</v>
      </c>
      <c r="AI38" s="196">
        <f t="shared" si="24"/>
        <v>67.07087069473315</v>
      </c>
      <c r="AJ38" s="40"/>
      <c r="AK38" s="40"/>
      <c r="AL38" s="145"/>
    </row>
    <row r="39" spans="9:38" ht="10.5"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K39" s="40"/>
      <c r="AL39" s="145"/>
    </row>
    <row r="40" spans="1:38" ht="10.5">
      <c r="A40" s="222"/>
      <c r="AK40" s="40"/>
      <c r="AL40" s="145"/>
    </row>
    <row r="41" spans="1:38" ht="10.5">
      <c r="A41" s="222"/>
      <c r="AK41" s="40"/>
      <c r="AL41" s="145"/>
    </row>
    <row r="42" spans="1:38" ht="10.5">
      <c r="A42" s="222"/>
      <c r="AL42" s="145"/>
    </row>
    <row r="43" spans="1:38" ht="10.5">
      <c r="A43" s="222"/>
      <c r="I43" s="2" t="s">
        <v>197</v>
      </c>
      <c r="AI43" s="40"/>
      <c r="AL43" s="145"/>
    </row>
    <row r="44" spans="1:38" ht="11.25" thickBot="1">
      <c r="A44" s="222"/>
      <c r="AI44" s="40"/>
      <c r="AL44" s="145"/>
    </row>
    <row r="45" spans="1:38" ht="10.5">
      <c r="A45" s="222"/>
      <c r="I45" s="42"/>
      <c r="J45" s="38" t="s">
        <v>97</v>
      </c>
      <c r="K45" s="38"/>
      <c r="L45" s="44" t="s">
        <v>98</v>
      </c>
      <c r="M45" s="39"/>
      <c r="N45" s="38" t="s">
        <v>99</v>
      </c>
      <c r="O45" s="38"/>
      <c r="P45" s="44" t="s">
        <v>100</v>
      </c>
      <c r="Q45" s="39"/>
      <c r="R45" s="38" t="s">
        <v>101</v>
      </c>
      <c r="S45" s="38"/>
      <c r="T45" s="44" t="s">
        <v>102</v>
      </c>
      <c r="U45" s="39"/>
      <c r="V45" s="38" t="s">
        <v>103</v>
      </c>
      <c r="W45" s="38"/>
      <c r="X45" s="38"/>
      <c r="Y45" s="44" t="s">
        <v>104</v>
      </c>
      <c r="Z45" s="39"/>
      <c r="AA45" s="161" t="s">
        <v>105</v>
      </c>
      <c r="AB45" s="173"/>
      <c r="AC45" s="173"/>
      <c r="AD45" s="173"/>
      <c r="AE45" s="173"/>
      <c r="AF45" s="162"/>
      <c r="AG45" s="188" t="s">
        <v>106</v>
      </c>
      <c r="AH45" s="173"/>
      <c r="AI45" s="189"/>
      <c r="AL45" s="145"/>
    </row>
    <row r="46" spans="9:38" ht="11.25" thickBot="1">
      <c r="I46" s="7"/>
      <c r="J46" s="41" t="s">
        <v>108</v>
      </c>
      <c r="K46" s="41" t="s">
        <v>109</v>
      </c>
      <c r="L46" s="45" t="s">
        <v>110</v>
      </c>
      <c r="M46" s="4" t="s">
        <v>109</v>
      </c>
      <c r="N46" s="41" t="s">
        <v>111</v>
      </c>
      <c r="O46" s="41" t="s">
        <v>109</v>
      </c>
      <c r="P46" s="45" t="s">
        <v>110</v>
      </c>
      <c r="Q46" s="4" t="s">
        <v>109</v>
      </c>
      <c r="R46" s="41" t="s">
        <v>110</v>
      </c>
      <c r="S46" s="41" t="s">
        <v>109</v>
      </c>
      <c r="T46" s="45" t="s">
        <v>108</v>
      </c>
      <c r="U46" s="4" t="s">
        <v>109</v>
      </c>
      <c r="V46" s="41" t="s">
        <v>108</v>
      </c>
      <c r="W46" s="41" t="s">
        <v>120</v>
      </c>
      <c r="X46" s="41" t="s">
        <v>121</v>
      </c>
      <c r="Y46" s="45" t="s">
        <v>110</v>
      </c>
      <c r="Z46" s="4" t="s">
        <v>109</v>
      </c>
      <c r="AA46" s="185" t="s">
        <v>114</v>
      </c>
      <c r="AB46" s="178" t="s">
        <v>115</v>
      </c>
      <c r="AC46" s="177" t="s">
        <v>95</v>
      </c>
      <c r="AD46" s="187" t="s">
        <v>96</v>
      </c>
      <c r="AE46" s="184" t="s">
        <v>116</v>
      </c>
      <c r="AF46" s="186" t="s">
        <v>81</v>
      </c>
      <c r="AG46" s="190" t="s">
        <v>114</v>
      </c>
      <c r="AH46" s="184" t="s">
        <v>115</v>
      </c>
      <c r="AI46" s="191" t="s">
        <v>95</v>
      </c>
      <c r="AL46" s="145"/>
    </row>
    <row r="47" spans="9:38" ht="10.5">
      <c r="I47" s="6" t="s">
        <v>50</v>
      </c>
      <c r="J47" s="420">
        <f>L47+N47+P47+R47+T47+V47+Y47</f>
        <v>5307036</v>
      </c>
      <c r="K47" s="40"/>
      <c r="L47" s="115">
        <v>473657</v>
      </c>
      <c r="M47" s="3"/>
      <c r="N47" s="420">
        <v>19436</v>
      </c>
      <c r="O47" s="40"/>
      <c r="P47" s="115">
        <v>122460</v>
      </c>
      <c r="Q47" s="3"/>
      <c r="R47" s="420">
        <v>217781</v>
      </c>
      <c r="S47" s="40"/>
      <c r="T47" s="115">
        <v>3112214</v>
      </c>
      <c r="U47" s="3"/>
      <c r="V47" s="420">
        <v>1133671</v>
      </c>
      <c r="W47" s="11"/>
      <c r="X47" s="40"/>
      <c r="Y47" s="115">
        <v>227817</v>
      </c>
      <c r="Z47" s="3"/>
      <c r="AA47" s="197">
        <v>6618136</v>
      </c>
      <c r="AB47" s="198">
        <v>7752330</v>
      </c>
      <c r="AC47" s="180">
        <f aca="true" t="shared" si="25" ref="AC47:AC59">AA47/AB47*100</f>
        <v>85.36963725744388</v>
      </c>
      <c r="AD47" s="202">
        <v>676752</v>
      </c>
      <c r="AE47" s="205">
        <v>1420720</v>
      </c>
      <c r="AF47" s="181">
        <f aca="true" t="shared" si="26" ref="AF47:AF59">AD47/AE47*100</f>
        <v>47.63443887606284</v>
      </c>
      <c r="AG47" s="197">
        <v>868143258</v>
      </c>
      <c r="AH47" s="202">
        <v>1231270950</v>
      </c>
      <c r="AI47" s="193">
        <f aca="true" t="shared" si="27" ref="AI47:AI59">AG47/AH47*100</f>
        <v>70.50789738846677</v>
      </c>
      <c r="AL47" s="145"/>
    </row>
    <row r="48" spans="9:38" ht="10.5">
      <c r="I48" s="6" t="s">
        <v>51</v>
      </c>
      <c r="J48" s="420">
        <f aca="true" t="shared" si="28" ref="J48:J59">L48+N48+P48+R48+T48+V48+Y48</f>
        <v>5284403</v>
      </c>
      <c r="K48" s="40"/>
      <c r="L48" s="115">
        <v>447065</v>
      </c>
      <c r="M48" s="3"/>
      <c r="N48" s="420">
        <v>24806</v>
      </c>
      <c r="O48" s="40"/>
      <c r="P48" s="115">
        <v>122780</v>
      </c>
      <c r="Q48" s="3"/>
      <c r="R48" s="420">
        <v>212081</v>
      </c>
      <c r="S48" s="40"/>
      <c r="T48" s="115">
        <v>3092739</v>
      </c>
      <c r="U48" s="3"/>
      <c r="V48" s="420">
        <v>1161145</v>
      </c>
      <c r="W48" s="11"/>
      <c r="X48" s="40"/>
      <c r="Y48" s="115">
        <v>223787</v>
      </c>
      <c r="Z48" s="3"/>
      <c r="AA48" s="200">
        <v>6849105</v>
      </c>
      <c r="AB48" s="208">
        <v>8005533</v>
      </c>
      <c r="AC48" s="166">
        <f t="shared" si="25"/>
        <v>85.55464077157636</v>
      </c>
      <c r="AD48" s="199">
        <v>666677</v>
      </c>
      <c r="AE48" s="206">
        <v>1399096</v>
      </c>
      <c r="AF48" s="63">
        <f t="shared" si="26"/>
        <v>47.65055435795686</v>
      </c>
      <c r="AG48" s="200">
        <v>860170284</v>
      </c>
      <c r="AH48" s="199">
        <v>1273444970</v>
      </c>
      <c r="AI48" s="192">
        <f t="shared" si="27"/>
        <v>67.54671809650323</v>
      </c>
      <c r="AL48" s="145"/>
    </row>
    <row r="49" spans="9:38" ht="10.5">
      <c r="I49" s="6" t="s">
        <v>52</v>
      </c>
      <c r="J49" s="420">
        <f t="shared" si="28"/>
        <v>4991880</v>
      </c>
      <c r="K49" s="40"/>
      <c r="L49" s="115">
        <v>448819</v>
      </c>
      <c r="M49" s="3"/>
      <c r="N49" s="420">
        <v>23201</v>
      </c>
      <c r="O49" s="40"/>
      <c r="P49" s="115">
        <v>159513</v>
      </c>
      <c r="Q49" s="3"/>
      <c r="R49" s="420">
        <v>197639</v>
      </c>
      <c r="S49" s="40"/>
      <c r="T49" s="115">
        <v>2829316</v>
      </c>
      <c r="U49" s="3"/>
      <c r="V49" s="420">
        <v>1095014</v>
      </c>
      <c r="W49" s="11"/>
      <c r="X49" s="40"/>
      <c r="Y49" s="115">
        <v>238378</v>
      </c>
      <c r="Z49" s="3"/>
      <c r="AA49" s="200">
        <v>6818372</v>
      </c>
      <c r="AB49" s="208">
        <v>7742490</v>
      </c>
      <c r="AC49" s="166">
        <f t="shared" si="25"/>
        <v>88.0643307256451</v>
      </c>
      <c r="AD49" s="199">
        <v>649856</v>
      </c>
      <c r="AE49" s="206">
        <v>1406515</v>
      </c>
      <c r="AF49" s="63">
        <f t="shared" si="26"/>
        <v>46.20327547164445</v>
      </c>
      <c r="AG49" s="200">
        <v>828048636</v>
      </c>
      <c r="AH49" s="199">
        <v>1234375200</v>
      </c>
      <c r="AI49" s="192">
        <f t="shared" si="27"/>
        <v>67.08241027525504</v>
      </c>
      <c r="AL49" s="145"/>
    </row>
    <row r="50" spans="9:38" ht="10.5">
      <c r="I50" s="6" t="s">
        <v>53</v>
      </c>
      <c r="J50" s="420">
        <f t="shared" si="28"/>
        <v>5513904</v>
      </c>
      <c r="K50" s="40"/>
      <c r="L50" s="115">
        <v>441901</v>
      </c>
      <c r="M50" s="3"/>
      <c r="N50" s="420">
        <v>22052</v>
      </c>
      <c r="O50" s="40"/>
      <c r="P50" s="115">
        <v>148753</v>
      </c>
      <c r="Q50" s="3"/>
      <c r="R50" s="420">
        <v>221781</v>
      </c>
      <c r="S50" s="40"/>
      <c r="T50" s="115">
        <v>3272078</v>
      </c>
      <c r="U50" s="3"/>
      <c r="V50" s="420">
        <v>1167579</v>
      </c>
      <c r="W50" s="11"/>
      <c r="X50" s="40"/>
      <c r="Y50" s="115">
        <v>239760</v>
      </c>
      <c r="Z50" s="3"/>
      <c r="AA50" s="200">
        <v>7069885</v>
      </c>
      <c r="AB50" s="208">
        <v>7997814</v>
      </c>
      <c r="AC50" s="166">
        <f t="shared" si="25"/>
        <v>88.3977171762184</v>
      </c>
      <c r="AD50" s="199">
        <v>676602</v>
      </c>
      <c r="AE50" s="206">
        <v>1465588</v>
      </c>
      <c r="AF50" s="63">
        <f t="shared" si="26"/>
        <v>46.16590747194982</v>
      </c>
      <c r="AG50" s="200">
        <v>907839049</v>
      </c>
      <c r="AH50" s="199">
        <v>1279321733</v>
      </c>
      <c r="AI50" s="192">
        <f t="shared" si="27"/>
        <v>70.96252846976375</v>
      </c>
      <c r="AL50" s="145"/>
    </row>
    <row r="51" spans="9:38" ht="10.5">
      <c r="I51" s="6" t="s">
        <v>54</v>
      </c>
      <c r="J51" s="420">
        <f t="shared" si="28"/>
        <v>5135689</v>
      </c>
      <c r="K51" s="40"/>
      <c r="L51" s="115">
        <v>413440</v>
      </c>
      <c r="M51" s="3"/>
      <c r="N51" s="420">
        <v>18370</v>
      </c>
      <c r="O51" s="40"/>
      <c r="P51" s="115">
        <v>102271</v>
      </c>
      <c r="Q51" s="3"/>
      <c r="R51" s="420">
        <v>219773</v>
      </c>
      <c r="S51" s="40"/>
      <c r="T51" s="115">
        <v>2989009</v>
      </c>
      <c r="U51" s="3"/>
      <c r="V51" s="420">
        <v>1182180</v>
      </c>
      <c r="W51" s="11"/>
      <c r="X51" s="40"/>
      <c r="Y51" s="115">
        <v>210646</v>
      </c>
      <c r="Z51" s="3"/>
      <c r="AA51" s="200">
        <v>6857900</v>
      </c>
      <c r="AB51" s="208">
        <v>7994807</v>
      </c>
      <c r="AC51" s="166">
        <f t="shared" si="25"/>
        <v>85.77943157352016</v>
      </c>
      <c r="AD51" s="199">
        <v>645572</v>
      </c>
      <c r="AE51" s="206">
        <v>1398049</v>
      </c>
      <c r="AF51" s="63">
        <f t="shared" si="26"/>
        <v>46.176636155099</v>
      </c>
      <c r="AG51" s="200">
        <v>855507579</v>
      </c>
      <c r="AH51" s="199">
        <v>1281687064</v>
      </c>
      <c r="AI51" s="192">
        <f t="shared" si="27"/>
        <v>66.74855376397869</v>
      </c>
      <c r="AL51" s="145"/>
    </row>
    <row r="52" spans="9:38" ht="10.5">
      <c r="I52" s="6" t="s">
        <v>55</v>
      </c>
      <c r="J52" s="420">
        <f t="shared" si="28"/>
        <v>5275638</v>
      </c>
      <c r="K52" s="40"/>
      <c r="L52" s="115">
        <v>441790</v>
      </c>
      <c r="M52" s="3"/>
      <c r="N52" s="420">
        <v>20225</v>
      </c>
      <c r="O52" s="40"/>
      <c r="P52" s="115">
        <v>137418</v>
      </c>
      <c r="Q52" s="3"/>
      <c r="R52" s="420">
        <v>199991</v>
      </c>
      <c r="S52" s="40"/>
      <c r="T52" s="115">
        <v>3084456</v>
      </c>
      <c r="U52" s="3"/>
      <c r="V52" s="420">
        <v>1173149</v>
      </c>
      <c r="W52" s="11"/>
      <c r="X52" s="40"/>
      <c r="Y52" s="115">
        <v>218609</v>
      </c>
      <c r="Z52" s="3"/>
      <c r="AA52" s="200">
        <v>6631020</v>
      </c>
      <c r="AB52" s="208">
        <v>7731780</v>
      </c>
      <c r="AC52" s="166">
        <f t="shared" si="25"/>
        <v>85.7631748446024</v>
      </c>
      <c r="AD52" s="199">
        <v>622803</v>
      </c>
      <c r="AE52" s="206">
        <v>1347237</v>
      </c>
      <c r="AF52" s="63">
        <f t="shared" si="26"/>
        <v>46.22816920853569</v>
      </c>
      <c r="AG52" s="200">
        <v>856174324</v>
      </c>
      <c r="AH52" s="199">
        <v>1242766260</v>
      </c>
      <c r="AI52" s="192">
        <f t="shared" si="27"/>
        <v>68.8926270013156</v>
      </c>
      <c r="AL52" s="145"/>
    </row>
    <row r="53" spans="9:38" ht="10.5">
      <c r="I53" s="6" t="s">
        <v>56</v>
      </c>
      <c r="J53" s="420">
        <f t="shared" si="28"/>
        <v>5082467</v>
      </c>
      <c r="K53" s="40"/>
      <c r="L53" s="115">
        <v>449593</v>
      </c>
      <c r="M53" s="3"/>
      <c r="N53" s="420">
        <v>27171</v>
      </c>
      <c r="O53" s="40"/>
      <c r="P53" s="115">
        <v>167491</v>
      </c>
      <c r="Q53" s="3"/>
      <c r="R53" s="420">
        <v>196680</v>
      </c>
      <c r="S53" s="40"/>
      <c r="T53" s="115">
        <v>2904565</v>
      </c>
      <c r="U53" s="3"/>
      <c r="V53" s="420">
        <v>1092207</v>
      </c>
      <c r="W53" s="11"/>
      <c r="X53" s="40"/>
      <c r="Y53" s="115">
        <v>244760</v>
      </c>
      <c r="Z53" s="3"/>
      <c r="AA53" s="200">
        <v>6895195</v>
      </c>
      <c r="AB53" s="208">
        <v>7983771</v>
      </c>
      <c r="AC53" s="166">
        <f t="shared" si="25"/>
        <v>86.36513998209618</v>
      </c>
      <c r="AD53" s="199">
        <v>654103</v>
      </c>
      <c r="AE53" s="206">
        <v>1399671</v>
      </c>
      <c r="AF53" s="63">
        <f t="shared" si="26"/>
        <v>46.732625024023505</v>
      </c>
      <c r="AG53" s="200">
        <v>857317673</v>
      </c>
      <c r="AH53" s="199">
        <v>1287406688</v>
      </c>
      <c r="AI53" s="192">
        <f t="shared" si="27"/>
        <v>66.59260674898717</v>
      </c>
      <c r="AL53" s="145"/>
    </row>
    <row r="54" spans="9:38" ht="10.5">
      <c r="I54" s="6" t="s">
        <v>57</v>
      </c>
      <c r="J54" s="420">
        <f t="shared" si="28"/>
        <v>5039968</v>
      </c>
      <c r="K54" s="40"/>
      <c r="L54" s="115">
        <v>427200</v>
      </c>
      <c r="M54" s="3"/>
      <c r="N54" s="420">
        <v>24342</v>
      </c>
      <c r="O54" s="40"/>
      <c r="P54" s="115">
        <v>161769</v>
      </c>
      <c r="Q54" s="3"/>
      <c r="R54" s="420">
        <v>198376</v>
      </c>
      <c r="S54" s="40"/>
      <c r="T54" s="115">
        <v>2886087</v>
      </c>
      <c r="U54" s="3"/>
      <c r="V54" s="420">
        <v>1115411</v>
      </c>
      <c r="W54" s="11"/>
      <c r="X54" s="40"/>
      <c r="Y54" s="115">
        <v>226783</v>
      </c>
      <c r="Z54" s="3"/>
      <c r="AA54" s="200">
        <v>6580157</v>
      </c>
      <c r="AB54" s="208">
        <v>7727010</v>
      </c>
      <c r="AC54" s="166">
        <f t="shared" si="25"/>
        <v>85.15786830869897</v>
      </c>
      <c r="AD54" s="199">
        <v>618018</v>
      </c>
      <c r="AE54" s="206">
        <v>1324298</v>
      </c>
      <c r="AF54" s="63">
        <f t="shared" si="26"/>
        <v>46.667592943582186</v>
      </c>
      <c r="AG54" s="200">
        <v>831399682</v>
      </c>
      <c r="AH54" s="199">
        <v>1247632560</v>
      </c>
      <c r="AI54" s="192">
        <f t="shared" si="27"/>
        <v>66.6381840820185</v>
      </c>
      <c r="AL54" s="145"/>
    </row>
    <row r="55" spans="1:38" ht="10.5">
      <c r="A55" s="222"/>
      <c r="I55" s="6" t="s">
        <v>58</v>
      </c>
      <c r="J55" s="420">
        <f t="shared" si="28"/>
        <v>5240800</v>
      </c>
      <c r="K55" s="40"/>
      <c r="L55" s="115">
        <v>413990</v>
      </c>
      <c r="M55" s="3"/>
      <c r="N55" s="420">
        <v>14906</v>
      </c>
      <c r="O55" s="40"/>
      <c r="P55" s="115">
        <v>115349</v>
      </c>
      <c r="Q55" s="3"/>
      <c r="R55" s="420">
        <v>229816</v>
      </c>
      <c r="S55" s="40"/>
      <c r="T55" s="115">
        <v>3066657</v>
      </c>
      <c r="U55" s="3"/>
      <c r="V55" s="420">
        <v>1176653</v>
      </c>
      <c r="W55" s="11"/>
      <c r="X55" s="40"/>
      <c r="Y55" s="115">
        <v>223429</v>
      </c>
      <c r="Z55" s="3"/>
      <c r="AA55" s="200">
        <v>6943584</v>
      </c>
      <c r="AB55" s="208">
        <v>7995210</v>
      </c>
      <c r="AC55" s="166">
        <f t="shared" si="25"/>
        <v>86.84679952121333</v>
      </c>
      <c r="AD55" s="199">
        <v>703576</v>
      </c>
      <c r="AE55" s="206">
        <v>1505928</v>
      </c>
      <c r="AF55" s="63">
        <f t="shared" si="26"/>
        <v>46.72042753704028</v>
      </c>
      <c r="AG55" s="200">
        <v>871717879</v>
      </c>
      <c r="AH55" s="199">
        <v>1290817804</v>
      </c>
      <c r="AI55" s="192">
        <f t="shared" si="27"/>
        <v>67.53221688597037</v>
      </c>
      <c r="AL55" s="145"/>
    </row>
    <row r="56" spans="1:38" ht="10.5">
      <c r="A56" s="222"/>
      <c r="I56" s="6" t="s">
        <v>59</v>
      </c>
      <c r="J56" s="420">
        <f t="shared" si="28"/>
        <v>4924269</v>
      </c>
      <c r="K56" s="40"/>
      <c r="L56" s="115">
        <v>410206</v>
      </c>
      <c r="M56" s="3"/>
      <c r="N56" s="420">
        <v>16290</v>
      </c>
      <c r="O56" s="40"/>
      <c r="P56" s="115">
        <v>126796</v>
      </c>
      <c r="Q56" s="3"/>
      <c r="R56" s="420">
        <v>210565</v>
      </c>
      <c r="S56" s="40"/>
      <c r="T56" s="115">
        <v>2894176</v>
      </c>
      <c r="U56" s="3"/>
      <c r="V56" s="420">
        <v>1073036</v>
      </c>
      <c r="W56" s="11"/>
      <c r="X56" s="40"/>
      <c r="Y56" s="115">
        <v>193200</v>
      </c>
      <c r="Z56" s="3"/>
      <c r="AA56" s="200">
        <v>6771749</v>
      </c>
      <c r="AB56" s="208">
        <v>7998155</v>
      </c>
      <c r="AC56" s="166">
        <f t="shared" si="25"/>
        <v>84.66638868589068</v>
      </c>
      <c r="AD56" s="199">
        <v>632848</v>
      </c>
      <c r="AE56" s="206">
        <v>1352751</v>
      </c>
      <c r="AF56" s="63">
        <f t="shared" si="26"/>
        <v>46.78229770297712</v>
      </c>
      <c r="AG56" s="200">
        <v>827701615</v>
      </c>
      <c r="AH56" s="199">
        <v>1290774652</v>
      </c>
      <c r="AI56" s="192">
        <f t="shared" si="27"/>
        <v>64.12440883600495</v>
      </c>
      <c r="AL56" s="145"/>
    </row>
    <row r="57" spans="1:38" ht="10.5">
      <c r="A57" s="222"/>
      <c r="I57" s="6" t="s">
        <v>60</v>
      </c>
      <c r="J57" s="420">
        <f t="shared" si="28"/>
        <v>4624627</v>
      </c>
      <c r="K57" s="40"/>
      <c r="L57" s="115">
        <v>381344</v>
      </c>
      <c r="M57" s="3"/>
      <c r="N57" s="420">
        <v>18545</v>
      </c>
      <c r="O57" s="40"/>
      <c r="P57" s="115">
        <v>138802</v>
      </c>
      <c r="Q57" s="3"/>
      <c r="R57" s="420">
        <v>188684</v>
      </c>
      <c r="S57" s="40"/>
      <c r="T57" s="115">
        <v>2632164</v>
      </c>
      <c r="U57" s="3"/>
      <c r="V57" s="420">
        <v>1038595</v>
      </c>
      <c r="W57" s="11"/>
      <c r="X57" s="40"/>
      <c r="Y57" s="115">
        <v>226493</v>
      </c>
      <c r="Z57" s="3"/>
      <c r="AA57" s="200">
        <v>6232039</v>
      </c>
      <c r="AB57" s="208">
        <v>7217812</v>
      </c>
      <c r="AC57" s="166">
        <f t="shared" si="25"/>
        <v>86.34249548201034</v>
      </c>
      <c r="AD57" s="199">
        <v>613500</v>
      </c>
      <c r="AE57" s="206">
        <v>1274402</v>
      </c>
      <c r="AF57" s="63">
        <f t="shared" si="26"/>
        <v>48.14022576863501</v>
      </c>
      <c r="AG57" s="200">
        <v>762539366</v>
      </c>
      <c r="AH57" s="199">
        <v>1165719884</v>
      </c>
      <c r="AI57" s="192">
        <f t="shared" si="27"/>
        <v>65.41360205536307</v>
      </c>
      <c r="AL57" s="145"/>
    </row>
    <row r="58" spans="1:38" ht="10.5">
      <c r="A58" s="222"/>
      <c r="I58" s="46" t="s">
        <v>61</v>
      </c>
      <c r="J58" s="421">
        <f t="shared" si="28"/>
        <v>5418496</v>
      </c>
      <c r="K58" s="47"/>
      <c r="L58" s="135">
        <v>422752</v>
      </c>
      <c r="M58" s="48"/>
      <c r="N58" s="421">
        <v>18459</v>
      </c>
      <c r="O58" s="47"/>
      <c r="P58" s="135">
        <v>124424</v>
      </c>
      <c r="Q58" s="48"/>
      <c r="R58" s="421">
        <v>221623</v>
      </c>
      <c r="S58" s="47"/>
      <c r="T58" s="135">
        <v>3175434</v>
      </c>
      <c r="U58" s="48"/>
      <c r="V58" s="421">
        <v>1222288</v>
      </c>
      <c r="W58" s="43"/>
      <c r="X58" s="47"/>
      <c r="Y58" s="135">
        <v>233516</v>
      </c>
      <c r="Z58" s="48"/>
      <c r="AA58" s="209">
        <v>6840307</v>
      </c>
      <c r="AB58" s="208">
        <v>7990033</v>
      </c>
      <c r="AC58" s="166">
        <f t="shared" si="25"/>
        <v>85.6104974785461</v>
      </c>
      <c r="AD58" s="203">
        <v>713304</v>
      </c>
      <c r="AE58" s="207">
        <v>1479121</v>
      </c>
      <c r="AF58" s="194">
        <f t="shared" si="26"/>
        <v>48.22485787166838</v>
      </c>
      <c r="AG58" s="200">
        <v>886404845</v>
      </c>
      <c r="AH58" s="199">
        <v>1289169441</v>
      </c>
      <c r="AI58" s="192">
        <f t="shared" si="27"/>
        <v>68.75782320068197</v>
      </c>
      <c r="AL58" s="145"/>
    </row>
    <row r="59" spans="1:38" ht="11.25" thickBot="1">
      <c r="A59" s="222"/>
      <c r="I59" s="7" t="s">
        <v>122</v>
      </c>
      <c r="J59" s="422">
        <f t="shared" si="28"/>
        <v>61839177</v>
      </c>
      <c r="K59" s="41"/>
      <c r="L59" s="138">
        <f>SUM(L47:L58)</f>
        <v>5171757</v>
      </c>
      <c r="M59" s="4"/>
      <c r="N59" s="138">
        <f>SUM(N47:N58)</f>
        <v>247803</v>
      </c>
      <c r="O59" s="41"/>
      <c r="P59" s="138">
        <f>SUM(P47:P58)</f>
        <v>1627826</v>
      </c>
      <c r="Q59" s="4"/>
      <c r="R59" s="138">
        <f>SUM(R47:R58)</f>
        <v>2514790</v>
      </c>
      <c r="S59" s="41"/>
      <c r="T59" s="138">
        <f>SUM(T47:T58)</f>
        <v>35938895</v>
      </c>
      <c r="U59" s="4"/>
      <c r="V59" s="138">
        <f>SUM(V47:V58)</f>
        <v>13630928</v>
      </c>
      <c r="W59" s="12"/>
      <c r="X59" s="41"/>
      <c r="Y59" s="138">
        <f>SUM(Y47:Y58)</f>
        <v>2707178</v>
      </c>
      <c r="Z59" s="4"/>
      <c r="AA59" s="210">
        <f>SUM(AA47:AA58)</f>
        <v>81107449</v>
      </c>
      <c r="AB59" s="204">
        <f>SUM(AB47:AB58)</f>
        <v>94136745</v>
      </c>
      <c r="AC59" s="183">
        <f t="shared" si="25"/>
        <v>86.15918151833272</v>
      </c>
      <c r="AD59" s="204">
        <f>SUM(AD47:AD58)</f>
        <v>7873611</v>
      </c>
      <c r="AE59" s="204">
        <f>SUM(AE47:AE58)</f>
        <v>16773376</v>
      </c>
      <c r="AF59" s="195">
        <f t="shared" si="26"/>
        <v>46.94112264579295</v>
      </c>
      <c r="AG59" s="211">
        <f>SUM(AG47:AG58)</f>
        <v>10212964190</v>
      </c>
      <c r="AH59" s="204">
        <f>SUM(AH47:AH58)</f>
        <v>15114387206</v>
      </c>
      <c r="AI59" s="196">
        <f t="shared" si="27"/>
        <v>67.57114298319506</v>
      </c>
      <c r="AL59" s="145"/>
    </row>
    <row r="60" ht="10.5">
      <c r="AL60" s="145"/>
    </row>
    <row r="61" ht="10.5">
      <c r="AL61" s="145"/>
    </row>
    <row r="62" ht="10.5">
      <c r="AL62" s="145"/>
    </row>
    <row r="63" ht="10.5">
      <c r="AL63" s="145"/>
    </row>
    <row r="64" ht="10.5">
      <c r="AL64" s="145"/>
    </row>
    <row r="65" ht="10.5">
      <c r="AL65" s="145"/>
    </row>
    <row r="66" ht="10.5">
      <c r="AL66" s="145"/>
    </row>
    <row r="67" ht="10.5">
      <c r="AL67" s="145"/>
    </row>
    <row r="68" ht="10.5">
      <c r="AL68" s="145"/>
    </row>
    <row r="69" ht="10.5">
      <c r="AL69" s="145"/>
    </row>
    <row r="70" ht="10.5">
      <c r="AL70" s="145"/>
    </row>
    <row r="71" ht="10.5">
      <c r="AL71" s="145"/>
    </row>
    <row r="72" ht="10.5">
      <c r="AL72" s="145"/>
    </row>
    <row r="73" ht="10.5">
      <c r="AL73" s="145"/>
    </row>
    <row r="74" ht="10.5">
      <c r="AL74" s="145"/>
    </row>
    <row r="75" ht="10.5">
      <c r="AL75" s="145"/>
    </row>
  </sheetData>
  <printOptions/>
  <pageMargins left="0.75" right="0.75" top="1" bottom="1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875" style="520" customWidth="1"/>
    <col min="2" max="3" width="25.75390625" style="520" customWidth="1"/>
    <col min="4" max="4" width="28.25390625" style="520" customWidth="1"/>
    <col min="5" max="16384" width="9.00390625" style="520" customWidth="1"/>
  </cols>
  <sheetData>
    <row r="1" s="515" customFormat="1" ht="13.5">
      <c r="A1" s="518" t="s">
        <v>217</v>
      </c>
    </row>
    <row r="2" s="515" customFormat="1" ht="13.5"/>
    <row r="3" spans="1:6" ht="40.5" customHeight="1">
      <c r="A3" s="522" t="s">
        <v>216</v>
      </c>
      <c r="B3" s="530" t="s">
        <v>220</v>
      </c>
      <c r="C3" s="530" t="s">
        <v>221</v>
      </c>
      <c r="D3" s="530" t="s">
        <v>222</v>
      </c>
      <c r="E3" s="516"/>
      <c r="F3" s="519"/>
    </row>
    <row r="4" spans="1:6" ht="13.5">
      <c r="A4" s="527" t="s">
        <v>218</v>
      </c>
      <c r="B4" s="524">
        <v>204.862374</v>
      </c>
      <c r="C4" s="524">
        <v>71.022576</v>
      </c>
      <c r="D4" s="528">
        <v>122879</v>
      </c>
      <c r="E4" s="517"/>
      <c r="F4" s="521"/>
    </row>
    <row r="5" spans="1:6" ht="13.5">
      <c r="A5" s="525" t="s">
        <v>208</v>
      </c>
      <c r="B5" s="524">
        <v>212.06501400000002</v>
      </c>
      <c r="C5" s="524">
        <v>71.53106</v>
      </c>
      <c r="D5" s="528">
        <v>119901</v>
      </c>
      <c r="E5" s="517"/>
      <c r="F5" s="521"/>
    </row>
    <row r="6" spans="1:6" ht="13.5">
      <c r="A6" s="525" t="s">
        <v>209</v>
      </c>
      <c r="B6" s="524">
        <v>223.08951299999998</v>
      </c>
      <c r="C6" s="524">
        <v>71.558402</v>
      </c>
      <c r="D6" s="528">
        <v>120571</v>
      </c>
      <c r="E6" s="517"/>
      <c r="F6" s="521"/>
    </row>
    <row r="7" spans="1:6" ht="13.5">
      <c r="A7" s="525" t="s">
        <v>210</v>
      </c>
      <c r="B7" s="524">
        <v>233.25495099999998</v>
      </c>
      <c r="C7" s="524">
        <v>72.255234</v>
      </c>
      <c r="D7" s="528">
        <v>119061</v>
      </c>
      <c r="E7" s="517"/>
      <c r="F7" s="521"/>
    </row>
    <row r="8" spans="1:6" ht="13.5">
      <c r="A8" s="525" t="s">
        <v>211</v>
      </c>
      <c r="B8" s="524">
        <v>236.552144</v>
      </c>
      <c r="C8" s="524">
        <v>69.710726</v>
      </c>
      <c r="D8" s="528">
        <v>121586</v>
      </c>
      <c r="E8" s="517"/>
      <c r="F8" s="521"/>
    </row>
    <row r="9" spans="1:6" ht="13.5">
      <c r="A9" s="526" t="s">
        <v>212</v>
      </c>
      <c r="B9" s="524">
        <v>235.64160099999998</v>
      </c>
      <c r="C9" s="524">
        <v>65.028344</v>
      </c>
      <c r="D9" s="528">
        <v>117728</v>
      </c>
      <c r="E9" s="517"/>
      <c r="F9" s="521"/>
    </row>
    <row r="10" spans="1:6" ht="13.5">
      <c r="A10" s="526" t="s">
        <v>213</v>
      </c>
      <c r="B10" s="524">
        <v>245.579589</v>
      </c>
      <c r="C10" s="524">
        <v>61.569295999999994</v>
      </c>
      <c r="D10" s="528">
        <v>113484</v>
      </c>
      <c r="E10" s="517"/>
      <c r="F10" s="521"/>
    </row>
    <row r="11" spans="1:6" ht="13.5">
      <c r="A11" s="526" t="s">
        <v>214</v>
      </c>
      <c r="B11" s="524">
        <v>255.533444</v>
      </c>
      <c r="C11" s="524">
        <v>57.584793000000005</v>
      </c>
      <c r="D11" s="528">
        <v>113332</v>
      </c>
      <c r="E11" s="517"/>
      <c r="F11" s="521"/>
    </row>
    <row r="12" spans="1:6" ht="13.5">
      <c r="A12" s="526" t="s">
        <v>215</v>
      </c>
      <c r="B12" s="524">
        <v>259.711</v>
      </c>
      <c r="C12" s="524">
        <v>53.301</v>
      </c>
      <c r="D12" s="528">
        <v>110754</v>
      </c>
      <c r="E12" s="517"/>
      <c r="F12" s="521"/>
    </row>
    <row r="13" spans="1:4" ht="13.5">
      <c r="A13" s="526" t="s">
        <v>219</v>
      </c>
      <c r="B13" s="524">
        <v>262.305</v>
      </c>
      <c r="C13" s="524">
        <v>49.723</v>
      </c>
      <c r="D13" s="529"/>
    </row>
    <row r="15" ht="13.5">
      <c r="A15" s="523" t="s">
        <v>223</v>
      </c>
    </row>
  </sheetData>
  <printOptions/>
  <pageMargins left="0.66" right="0.4330708661417323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E1">
      <selection activeCell="N31" sqref="N31"/>
    </sheetView>
  </sheetViews>
  <sheetFormatPr defaultColWidth="9.00390625" defaultRowHeight="13.5"/>
  <cols>
    <col min="1" max="1" width="9.00390625" style="1" customWidth="1"/>
    <col min="2" max="2" width="12.875" style="1" customWidth="1"/>
    <col min="3" max="3" width="12.125" style="1" customWidth="1"/>
    <col min="4" max="4" width="11.875" style="1" customWidth="1"/>
    <col min="5" max="5" width="10.25390625" style="1" customWidth="1"/>
    <col min="6" max="6" width="12.00390625" style="1" customWidth="1"/>
    <col min="7" max="8" width="9.00390625" style="1" customWidth="1"/>
    <col min="9" max="9" width="11.875" style="1" customWidth="1"/>
    <col min="10" max="16384" width="9.00390625" style="1" customWidth="1"/>
  </cols>
  <sheetData>
    <row r="1" ht="10.5">
      <c r="C1" s="2" t="s">
        <v>123</v>
      </c>
    </row>
    <row r="2" spans="1:7" ht="11.25" thickBot="1">
      <c r="A2" s="150"/>
      <c r="B2" s="150"/>
      <c r="C2" s="150"/>
      <c r="D2" s="150"/>
      <c r="E2" s="150"/>
      <c r="F2" s="150"/>
      <c r="G2" s="150"/>
    </row>
    <row r="3" spans="1:7" ht="11.25" thickBot="1">
      <c r="A3" s="150"/>
      <c r="B3" s="9"/>
      <c r="C3" s="10" t="s">
        <v>86</v>
      </c>
      <c r="D3" s="10" t="s">
        <v>87</v>
      </c>
      <c r="E3" s="10" t="s">
        <v>124</v>
      </c>
      <c r="F3" s="8" t="s">
        <v>95</v>
      </c>
      <c r="G3" s="150"/>
    </row>
    <row r="4" spans="1:7" ht="10.5">
      <c r="A4" s="150"/>
      <c r="B4" s="6">
        <v>7</v>
      </c>
      <c r="C4" s="11">
        <v>2.1</v>
      </c>
      <c r="D4" s="18">
        <v>2.2</v>
      </c>
      <c r="E4" s="18">
        <v>3.6</v>
      </c>
      <c r="F4" s="19">
        <v>68.95</v>
      </c>
      <c r="G4" s="150"/>
    </row>
    <row r="5" spans="1:7" ht="10.5">
      <c r="A5" s="150"/>
      <c r="B5" s="6">
        <v>8</v>
      </c>
      <c r="C5" s="11">
        <v>0.2</v>
      </c>
      <c r="D5" s="18">
        <v>2</v>
      </c>
      <c r="E5" s="18">
        <v>3.5</v>
      </c>
      <c r="F5" s="19">
        <v>68.5</v>
      </c>
      <c r="G5" s="150"/>
    </row>
    <row r="6" spans="1:7" ht="10.5">
      <c r="A6" s="150"/>
      <c r="B6" s="6">
        <v>9</v>
      </c>
      <c r="C6" s="11">
        <v>2.3</v>
      </c>
      <c r="D6" s="18">
        <v>2</v>
      </c>
      <c r="E6" s="18">
        <v>2</v>
      </c>
      <c r="F6" s="19">
        <v>67.87</v>
      </c>
      <c r="G6" s="150"/>
    </row>
    <row r="7" spans="1:7" ht="10.5">
      <c r="A7" s="150"/>
      <c r="B7" s="6">
        <v>10</v>
      </c>
      <c r="C7" s="464">
        <v>0.19384508741219975</v>
      </c>
      <c r="D7" s="18">
        <v>2.0832586133023483</v>
      </c>
      <c r="E7" s="18">
        <v>1.2</v>
      </c>
      <c r="F7" s="19">
        <v>67.57114298319506</v>
      </c>
      <c r="G7" s="150"/>
    </row>
    <row r="8" spans="1:7" ht="11.25" thickBot="1">
      <c r="A8" s="150"/>
      <c r="B8" s="65">
        <v>11</v>
      </c>
      <c r="C8" s="494">
        <f>'2-1-2 輸送機関別国内旅客輸送量'!$F$22-100</f>
        <v>1.4430473286043792</v>
      </c>
      <c r="D8" s="61">
        <f>'2-1-2 輸送機関別国内旅客輸送量'!$J$22-100</f>
        <v>-0.29343472617840405</v>
      </c>
      <c r="E8" s="61">
        <v>1.2</v>
      </c>
      <c r="F8" s="69">
        <f>'ハイタク人ｷﾛ　実働　実車'!$AI$19</f>
        <v>66.30554229435688</v>
      </c>
      <c r="G8" s="150"/>
    </row>
    <row r="9" spans="1:7" ht="10.5">
      <c r="A9" s="150"/>
      <c r="B9" s="150"/>
      <c r="C9" s="150"/>
      <c r="D9" s="150"/>
      <c r="E9" s="150"/>
      <c r="F9" s="150"/>
      <c r="G9" s="150"/>
    </row>
    <row r="11" ht="10.5"/>
    <row r="12" ht="10.5">
      <c r="B12" s="2"/>
    </row>
    <row r="13" ht="10.5">
      <c r="B13" s="2"/>
    </row>
    <row r="14" ht="10.5">
      <c r="B14" s="2"/>
    </row>
    <row r="15" ht="10.5"/>
    <row r="16" ht="10.5">
      <c r="B16" s="2"/>
    </row>
    <row r="17" ht="10.5"/>
    <row r="18" ht="10.5"/>
    <row r="19" spans="2:5" ht="10.5">
      <c r="B19" s="2"/>
      <c r="C19" s="1" t="s">
        <v>125</v>
      </c>
      <c r="E19" s="1" t="s">
        <v>126</v>
      </c>
    </row>
    <row r="20" spans="3:6" ht="10.5">
      <c r="C20" s="286" t="s">
        <v>127</v>
      </c>
      <c r="D20" s="286" t="s">
        <v>128</v>
      </c>
      <c r="E20" s="286" t="s">
        <v>127</v>
      </c>
      <c r="F20" s="286" t="s">
        <v>128</v>
      </c>
    </row>
    <row r="21" spans="2:6" ht="10.5">
      <c r="B21" s="465" t="s">
        <v>50</v>
      </c>
      <c r="C21" s="466">
        <f>'2-1-3 旅客輸送機関分担率推移'!AG42</f>
        <v>0.7646216032227215</v>
      </c>
      <c r="D21" s="467">
        <f>'2-1-3 旅客輸送機関分担率推移'!BE42</f>
        <v>-1.141651626649761</v>
      </c>
      <c r="E21" s="466">
        <f>'2-1-3 旅客輸送機関分担率推移'!AH42</f>
        <v>5.674848746758855</v>
      </c>
      <c r="F21" s="467">
        <f>'2-1-3 旅客輸送機関分担率推移'!BF42</f>
        <v>2.3914157041809574</v>
      </c>
    </row>
    <row r="22" spans="2:6" ht="10.5">
      <c r="B22" s="468" t="s">
        <v>51</v>
      </c>
      <c r="C22" s="469">
        <f>'2-1-3 旅客輸送機関分担率推移'!AG43</f>
        <v>5.103596424364227</v>
      </c>
      <c r="D22" s="470">
        <f>'2-1-3 旅客輸送機関分担率推移'!BE43</f>
        <v>0.7847973008175018</v>
      </c>
      <c r="E22" s="469">
        <f>'2-1-3 旅客輸送機関分担率推移'!AH43</f>
        <v>8.258903996476931</v>
      </c>
      <c r="F22" s="470">
        <f>'2-1-3 旅客輸送機関分担率推移'!BF43</f>
        <v>2.890884260997126</v>
      </c>
    </row>
    <row r="23" spans="2:6" ht="10.5">
      <c r="B23" s="468" t="s">
        <v>52</v>
      </c>
      <c r="C23" s="469">
        <f>'2-1-3 旅客輸送機関分担率推移'!AG44</f>
        <v>3.068756066325946</v>
      </c>
      <c r="D23" s="470">
        <f>'2-1-3 旅客輸送機関分担率推移'!BE44</f>
        <v>0.8629984414956908</v>
      </c>
      <c r="E23" s="469">
        <f>'2-1-3 旅客輸送機関分担率推移'!AH44</f>
        <v>5.442971533424256</v>
      </c>
      <c r="F23" s="470">
        <f>'2-1-3 旅客輸送機関分担率推移'!BF44</f>
        <v>2.555611182815994</v>
      </c>
    </row>
    <row r="24" spans="2:6" ht="10.5">
      <c r="B24" s="468" t="s">
        <v>53</v>
      </c>
      <c r="C24" s="469">
        <f>'2-1-3 旅客輸送機関分担率推移'!AG45</f>
        <v>4.382470119521912</v>
      </c>
      <c r="D24" s="470">
        <f>'2-1-3 旅客輸送機関分担率推移'!BE45</f>
        <v>0.5347774079295959</v>
      </c>
      <c r="E24" s="469">
        <f>'2-1-3 旅客輸送機関分担率推移'!AH45</f>
        <v>3.478072490112922</v>
      </c>
      <c r="F24" s="470">
        <f>'2-1-3 旅客輸送機関分担率推移'!BF45</f>
        <v>2.21571380967049</v>
      </c>
    </row>
    <row r="25" spans="2:6" ht="10.5">
      <c r="B25" s="468" t="s">
        <v>54</v>
      </c>
      <c r="C25" s="469">
        <f>'2-1-3 旅客輸送機関分担率推移'!AG46</f>
        <v>1.4449962419730724</v>
      </c>
      <c r="D25" s="470">
        <f>'2-1-3 旅客輸送機関分担率推移'!BE46</f>
        <v>-0.1864831595330685</v>
      </c>
      <c r="E25" s="469">
        <f>'2-1-3 旅客輸送機関分担率推移'!AH46</f>
        <v>5.129364640860885</v>
      </c>
      <c r="F25" s="470">
        <f>'2-1-3 旅客輸送機関分担率推移'!BF46</f>
        <v>2.4097505234871477</v>
      </c>
    </row>
    <row r="26" spans="2:6" ht="10.5">
      <c r="B26" s="468" t="s">
        <v>55</v>
      </c>
      <c r="C26" s="469">
        <f>'2-1-3 旅客輸送機関分担率推移'!AG47</f>
        <v>0.4864131097437081</v>
      </c>
      <c r="D26" s="470">
        <f>'2-1-3 旅客輸送機関分担率推移'!BE47</f>
        <v>-2.0088819885131954</v>
      </c>
      <c r="E26" s="469">
        <f>'2-1-3 旅客輸送機関分担率推移'!AH47</f>
        <v>3.7888411261174326</v>
      </c>
      <c r="F26" s="470">
        <f>'2-1-3 旅客輸送機関分担率推移'!BF47</f>
        <v>3.710190940617423</v>
      </c>
    </row>
    <row r="27" spans="2:6" ht="10.5">
      <c r="B27" s="468" t="s">
        <v>56</v>
      </c>
      <c r="C27" s="469">
        <f>'2-1-3 旅客輸送機関分担率推移'!AG48</f>
        <v>1.9741515216884693</v>
      </c>
      <c r="D27" s="470">
        <f>'2-1-3 旅客輸送機関分担率推移'!BE48</f>
        <v>-0.7333661597471917</v>
      </c>
      <c r="E27" s="469">
        <f>'2-1-3 旅客輸送機関分担率推移'!AH48</f>
        <v>4.652493257686061</v>
      </c>
      <c r="F27" s="470">
        <f>'2-1-3 旅客輸送機関分担率推移'!BF48</f>
        <v>1.2749789686552475</v>
      </c>
    </row>
    <row r="28" spans="2:6" ht="10.5">
      <c r="B28" s="468" t="s">
        <v>57</v>
      </c>
      <c r="C28" s="469">
        <f>'2-1-3 旅客輸送機関分担率推移'!AG49</f>
        <v>-2.9556797863733095</v>
      </c>
      <c r="D28" s="470">
        <f>'2-1-3 旅客輸送機関分担率推移'!BE49</f>
        <v>-1.9728130912466213</v>
      </c>
      <c r="E28" s="469">
        <f>'2-1-3 旅客輸送機関分担率推移'!AH49</f>
        <v>6.357022277217197</v>
      </c>
      <c r="F28" s="470">
        <f>'2-1-3 旅客輸送機関分担率推移'!BF49</f>
        <v>4.414359381609543</v>
      </c>
    </row>
    <row r="29" spans="2:6" ht="10.5">
      <c r="B29" s="468" t="s">
        <v>58</v>
      </c>
      <c r="C29" s="469">
        <f>'2-1-3 旅客輸送機関分担率推移'!AG50</f>
        <v>1.224493827034621</v>
      </c>
      <c r="D29" s="470">
        <f>'2-1-3 旅客輸送機関分担率推移'!BE50</f>
        <v>0.4789033595287151</v>
      </c>
      <c r="E29" s="469">
        <f>'2-1-3 旅客輸送機関分担率推移'!AH50</f>
        <v>2.3565316395405205</v>
      </c>
      <c r="F29" s="470">
        <f>'2-1-3 旅客輸送機関分担率推移'!BF50</f>
        <v>2.4298357593127093</v>
      </c>
    </row>
    <row r="30" spans="2:6" ht="10.5">
      <c r="B30" s="468" t="s">
        <v>59</v>
      </c>
      <c r="C30" s="469">
        <f>'2-1-3 旅客輸送機関分担率推移'!AG51</f>
        <v>-2.92050427615807</v>
      </c>
      <c r="D30" s="470">
        <f>'2-1-3 旅客輸送機関分担率推移'!BE51</f>
        <v>-1.3382916601779584</v>
      </c>
      <c r="E30" s="469">
        <f>'2-1-3 旅客輸送機関分担率推移'!AH51</f>
        <v>3.518712331733383</v>
      </c>
      <c r="F30" s="470">
        <f>'2-1-3 旅客輸送機関分担率推移'!BF51</f>
        <v>2.199126589150822</v>
      </c>
    </row>
    <row r="31" spans="2:6" ht="10.5">
      <c r="B31" s="468" t="s">
        <v>60</v>
      </c>
      <c r="C31" s="469">
        <f>'2-1-3 旅客輸送機関分担率推移'!AG52</f>
        <v>0.8479901116927806</v>
      </c>
      <c r="D31" s="470">
        <f>'2-1-3 旅客輸送機関分担率推移'!BE52</f>
        <v>-4.01640145719314</v>
      </c>
      <c r="E31" s="469">
        <f>'2-1-3 旅客輸送機関分担率推移'!AH52</f>
        <v>-0.28391979871584283</v>
      </c>
      <c r="F31" s="470">
        <f>'2-1-3 旅客輸送機関分担率推移'!BF52</f>
        <v>0.5711450026659577</v>
      </c>
    </row>
    <row r="32" spans="2:6" ht="10.5">
      <c r="B32" s="471" t="s">
        <v>61</v>
      </c>
      <c r="C32" s="472">
        <f>'2-1-3 旅客輸送機関分担率推移'!AG53</f>
        <v>3.8004731081179273</v>
      </c>
      <c r="D32" s="473">
        <f>'2-1-3 旅客輸送機関分担率推移'!BE53</f>
        <v>4.987710487661047</v>
      </c>
      <c r="E32" s="472">
        <f>'2-1-3 旅客輸送機関分担率推移'!AH53</f>
        <v>5.014250068091059</v>
      </c>
      <c r="F32" s="473">
        <f>'2-1-3 旅客輸送機関分担率推移'!BF53</f>
        <v>5.094260878733394</v>
      </c>
    </row>
    <row r="33" ht="10.5">
      <c r="B33" s="1" t="s">
        <v>129</v>
      </c>
    </row>
    <row r="34" ht="10.5">
      <c r="B34" s="2" t="s">
        <v>130</v>
      </c>
    </row>
    <row r="35" ht="10.5">
      <c r="B35" s="2" t="s">
        <v>131</v>
      </c>
    </row>
    <row r="40" ht="11.25" thickBot="1">
      <c r="A40" s="2" t="s">
        <v>132</v>
      </c>
    </row>
    <row r="41" spans="2:11" ht="13.5">
      <c r="B41" s="44" t="s">
        <v>2</v>
      </c>
      <c r="C41" s="42" t="s">
        <v>3</v>
      </c>
      <c r="D41" s="42" t="s">
        <v>89</v>
      </c>
      <c r="E41" s="245" t="s">
        <v>133</v>
      </c>
      <c r="F41" s="236"/>
      <c r="G41" s="245"/>
      <c r="H41" s="246" t="s">
        <v>134</v>
      </c>
      <c r="I41" s="236"/>
      <c r="J41" s="243"/>
      <c r="K41" s="39" t="s">
        <v>135</v>
      </c>
    </row>
    <row r="42" spans="2:11" ht="11.25" thickBot="1">
      <c r="B42" s="45"/>
      <c r="C42" s="7"/>
      <c r="D42" s="7"/>
      <c r="E42" s="12" t="s">
        <v>136</v>
      </c>
      <c r="F42" s="12" t="s">
        <v>137</v>
      </c>
      <c r="G42" s="41" t="s">
        <v>138</v>
      </c>
      <c r="H42" s="45" t="s">
        <v>136</v>
      </c>
      <c r="I42" s="232" t="s">
        <v>137</v>
      </c>
      <c r="J42" s="4" t="s">
        <v>138</v>
      </c>
      <c r="K42" s="4"/>
    </row>
    <row r="43" spans="1:11" ht="10.5">
      <c r="A43" s="330" t="s">
        <v>50</v>
      </c>
      <c r="B43" s="331">
        <v>374407</v>
      </c>
      <c r="C43" s="332">
        <f aca="true" t="shared" si="0" ref="C43:C55">E43+H43+K43</f>
        <v>326975</v>
      </c>
      <c r="D43" s="333">
        <f aca="true" t="shared" si="1" ref="D43:D55">C43/B43*100</f>
        <v>87.3314334400799</v>
      </c>
      <c r="E43" s="334">
        <f aca="true" t="shared" si="2" ref="E43:E55">F43+G43</f>
        <v>225463</v>
      </c>
      <c r="F43" s="334">
        <v>47242</v>
      </c>
      <c r="G43" s="331">
        <v>178221</v>
      </c>
      <c r="H43" s="335">
        <f>I43+J43</f>
        <v>100257</v>
      </c>
      <c r="I43" s="336">
        <v>7044</v>
      </c>
      <c r="J43" s="337">
        <v>93213</v>
      </c>
      <c r="K43" s="337">
        <v>1255</v>
      </c>
    </row>
    <row r="44" spans="1:11" ht="10.5">
      <c r="A44" s="300" t="s">
        <v>51</v>
      </c>
      <c r="B44" s="338">
        <v>353204</v>
      </c>
      <c r="C44" s="339">
        <f t="shared" si="0"/>
        <v>319939</v>
      </c>
      <c r="D44" s="340">
        <f t="shared" si="1"/>
        <v>90.58192998946785</v>
      </c>
      <c r="E44" s="341">
        <f t="shared" si="2"/>
        <v>210634</v>
      </c>
      <c r="F44" s="341">
        <v>45647</v>
      </c>
      <c r="G44" s="338">
        <v>164987</v>
      </c>
      <c r="H44" s="342">
        <f aca="true" t="shared" si="3" ref="H44:H55">I44+J44</f>
        <v>108512</v>
      </c>
      <c r="I44" s="343">
        <v>9820</v>
      </c>
      <c r="J44" s="344">
        <v>98692</v>
      </c>
      <c r="K44" s="344">
        <v>793</v>
      </c>
    </row>
    <row r="45" spans="1:11" ht="10.5">
      <c r="A45" s="300" t="s">
        <v>52</v>
      </c>
      <c r="B45" s="338">
        <v>441318</v>
      </c>
      <c r="C45" s="339">
        <f t="shared" si="0"/>
        <v>419055</v>
      </c>
      <c r="D45" s="340">
        <f t="shared" si="1"/>
        <v>94.95533832746455</v>
      </c>
      <c r="E45" s="341">
        <f t="shared" si="2"/>
        <v>284581</v>
      </c>
      <c r="F45" s="341">
        <v>65986</v>
      </c>
      <c r="G45" s="338">
        <v>218595</v>
      </c>
      <c r="H45" s="342">
        <f t="shared" si="3"/>
        <v>133380</v>
      </c>
      <c r="I45" s="343">
        <v>11458</v>
      </c>
      <c r="J45" s="344">
        <v>121922</v>
      </c>
      <c r="K45" s="344">
        <v>1094</v>
      </c>
    </row>
    <row r="46" spans="1:11" ht="10.5">
      <c r="A46" s="300" t="s">
        <v>53</v>
      </c>
      <c r="B46" s="338">
        <v>524321</v>
      </c>
      <c r="C46" s="339">
        <f t="shared" si="0"/>
        <v>471624</v>
      </c>
      <c r="D46" s="340">
        <f t="shared" si="1"/>
        <v>89.94947751472857</v>
      </c>
      <c r="E46" s="341">
        <f t="shared" si="2"/>
        <v>325489</v>
      </c>
      <c r="F46" s="341">
        <v>75151</v>
      </c>
      <c r="G46" s="338">
        <v>250338</v>
      </c>
      <c r="H46" s="342">
        <f t="shared" si="3"/>
        <v>144809</v>
      </c>
      <c r="I46" s="343">
        <v>11627</v>
      </c>
      <c r="J46" s="344">
        <v>133182</v>
      </c>
      <c r="K46" s="344">
        <v>1326</v>
      </c>
    </row>
    <row r="47" spans="1:11" ht="10.5">
      <c r="A47" s="300" t="s">
        <v>54</v>
      </c>
      <c r="B47" s="338">
        <v>290141</v>
      </c>
      <c r="C47" s="339">
        <f t="shared" si="0"/>
        <v>260210</v>
      </c>
      <c r="D47" s="340">
        <f t="shared" si="1"/>
        <v>89.68398123670906</v>
      </c>
      <c r="E47" s="341">
        <f t="shared" si="2"/>
        <v>177848</v>
      </c>
      <c r="F47" s="341">
        <v>45797</v>
      </c>
      <c r="G47" s="338">
        <v>132051</v>
      </c>
      <c r="H47" s="342">
        <f t="shared" si="3"/>
        <v>81237</v>
      </c>
      <c r="I47" s="343">
        <v>9354</v>
      </c>
      <c r="J47" s="344">
        <v>71883</v>
      </c>
      <c r="K47" s="344">
        <v>1125</v>
      </c>
    </row>
    <row r="48" spans="1:11" ht="10.5">
      <c r="A48" s="300" t="s">
        <v>55</v>
      </c>
      <c r="B48" s="338">
        <v>511908</v>
      </c>
      <c r="C48" s="339">
        <f t="shared" si="0"/>
        <v>466290</v>
      </c>
      <c r="D48" s="340">
        <f t="shared" si="1"/>
        <v>91.08863311376263</v>
      </c>
      <c r="E48" s="341">
        <f t="shared" si="2"/>
        <v>317605</v>
      </c>
      <c r="F48" s="341">
        <v>80186</v>
      </c>
      <c r="G48" s="338">
        <v>237419</v>
      </c>
      <c r="H48" s="342">
        <f t="shared" si="3"/>
        <v>147050</v>
      </c>
      <c r="I48" s="343">
        <v>22297</v>
      </c>
      <c r="J48" s="344">
        <v>124753</v>
      </c>
      <c r="K48" s="344">
        <v>1635</v>
      </c>
    </row>
    <row r="49" spans="1:11" ht="10.5">
      <c r="A49" s="300" t="s">
        <v>56</v>
      </c>
      <c r="B49" s="338">
        <v>447278</v>
      </c>
      <c r="C49" s="339">
        <f t="shared" si="0"/>
        <v>389138</v>
      </c>
      <c r="D49" s="340">
        <f t="shared" si="1"/>
        <v>87.00137274804483</v>
      </c>
      <c r="E49" s="341">
        <f t="shared" si="2"/>
        <v>276747</v>
      </c>
      <c r="F49" s="341">
        <v>74831</v>
      </c>
      <c r="G49" s="338">
        <v>201916</v>
      </c>
      <c r="H49" s="342">
        <f t="shared" si="3"/>
        <v>111385</v>
      </c>
      <c r="I49" s="343">
        <v>7641</v>
      </c>
      <c r="J49" s="344">
        <v>103744</v>
      </c>
      <c r="K49" s="344">
        <v>1006</v>
      </c>
    </row>
    <row r="50" spans="1:11" ht="10.5">
      <c r="A50" s="300" t="s">
        <v>57</v>
      </c>
      <c r="B50" s="338">
        <v>507545</v>
      </c>
      <c r="C50" s="339">
        <f t="shared" si="0"/>
        <v>388246</v>
      </c>
      <c r="D50" s="340">
        <f t="shared" si="1"/>
        <v>76.4948920785349</v>
      </c>
      <c r="E50" s="341">
        <f t="shared" si="2"/>
        <v>277880</v>
      </c>
      <c r="F50" s="341">
        <v>77847</v>
      </c>
      <c r="G50" s="338">
        <v>200033</v>
      </c>
      <c r="H50" s="342">
        <f t="shared" si="3"/>
        <v>109474</v>
      </c>
      <c r="I50" s="343">
        <v>8715</v>
      </c>
      <c r="J50" s="344">
        <v>100759</v>
      </c>
      <c r="K50" s="344">
        <v>892</v>
      </c>
    </row>
    <row r="51" spans="1:11" ht="10.5">
      <c r="A51" s="300" t="s">
        <v>58</v>
      </c>
      <c r="B51" s="338">
        <v>432602</v>
      </c>
      <c r="C51" s="339">
        <f t="shared" si="0"/>
        <v>392150</v>
      </c>
      <c r="D51" s="340">
        <f t="shared" si="1"/>
        <v>90.6491417053088</v>
      </c>
      <c r="E51" s="341">
        <f t="shared" si="2"/>
        <v>293048</v>
      </c>
      <c r="F51" s="341">
        <v>83540</v>
      </c>
      <c r="G51" s="338">
        <v>209508</v>
      </c>
      <c r="H51" s="342">
        <f t="shared" si="3"/>
        <v>98282</v>
      </c>
      <c r="I51" s="343">
        <v>8125</v>
      </c>
      <c r="J51" s="344">
        <v>90157</v>
      </c>
      <c r="K51" s="344">
        <v>820</v>
      </c>
    </row>
    <row r="52" spans="1:11" ht="10.5">
      <c r="A52" s="300" t="s">
        <v>59</v>
      </c>
      <c r="B52" s="338">
        <v>336643</v>
      </c>
      <c r="C52" s="339">
        <f t="shared" si="0"/>
        <v>257568</v>
      </c>
      <c r="D52" s="340">
        <f t="shared" si="1"/>
        <v>76.51072501136218</v>
      </c>
      <c r="E52" s="341">
        <f t="shared" si="2"/>
        <v>180489</v>
      </c>
      <c r="F52" s="341">
        <v>45348</v>
      </c>
      <c r="G52" s="338">
        <v>135141</v>
      </c>
      <c r="H52" s="342">
        <f t="shared" si="3"/>
        <v>76280</v>
      </c>
      <c r="I52" s="343">
        <v>6493</v>
      </c>
      <c r="J52" s="344">
        <v>69787</v>
      </c>
      <c r="K52" s="344">
        <v>799</v>
      </c>
    </row>
    <row r="53" spans="1:11" ht="10.5">
      <c r="A53" s="300" t="s">
        <v>60</v>
      </c>
      <c r="B53" s="338">
        <v>511375</v>
      </c>
      <c r="C53" s="339">
        <f t="shared" si="0"/>
        <v>396906</v>
      </c>
      <c r="D53" s="340">
        <f t="shared" si="1"/>
        <v>77.61544854558787</v>
      </c>
      <c r="E53" s="341">
        <f t="shared" si="2"/>
        <v>280645</v>
      </c>
      <c r="F53" s="341">
        <v>63285</v>
      </c>
      <c r="G53" s="338">
        <v>217360</v>
      </c>
      <c r="H53" s="342">
        <f t="shared" si="3"/>
        <v>115191</v>
      </c>
      <c r="I53" s="343">
        <v>7761</v>
      </c>
      <c r="J53" s="344">
        <v>107430</v>
      </c>
      <c r="K53" s="344">
        <v>1070</v>
      </c>
    </row>
    <row r="54" spans="1:11" ht="10.5">
      <c r="A54" s="302" t="s">
        <v>61</v>
      </c>
      <c r="B54" s="345">
        <v>830866</v>
      </c>
      <c r="C54" s="346">
        <f t="shared" si="0"/>
        <v>658997</v>
      </c>
      <c r="D54" s="347">
        <f t="shared" si="1"/>
        <v>79.3144742954941</v>
      </c>
      <c r="E54" s="348">
        <f t="shared" si="2"/>
        <v>469632</v>
      </c>
      <c r="F54" s="348">
        <v>106542</v>
      </c>
      <c r="G54" s="345">
        <v>363090</v>
      </c>
      <c r="H54" s="349">
        <f t="shared" si="3"/>
        <v>185983</v>
      </c>
      <c r="I54" s="350">
        <v>18588</v>
      </c>
      <c r="J54" s="351">
        <v>167395</v>
      </c>
      <c r="K54" s="351">
        <v>3382</v>
      </c>
    </row>
    <row r="55" spans="1:11" ht="11.25" thickBot="1">
      <c r="A55" s="307" t="s">
        <v>73</v>
      </c>
      <c r="B55" s="352">
        <f>SUM(B43:B54)</f>
        <v>5561608</v>
      </c>
      <c r="C55" s="353">
        <f t="shared" si="0"/>
        <v>4747098</v>
      </c>
      <c r="D55" s="354">
        <f t="shared" si="1"/>
        <v>85.35477509382179</v>
      </c>
      <c r="E55" s="355">
        <f t="shared" si="2"/>
        <v>3320061</v>
      </c>
      <c r="F55" s="355">
        <f>SUM(F43:F54)</f>
        <v>811402</v>
      </c>
      <c r="G55" s="352">
        <f>SUM(G43:G54)</f>
        <v>2508659</v>
      </c>
      <c r="H55" s="356">
        <f t="shared" si="3"/>
        <v>1411840</v>
      </c>
      <c r="I55" s="357">
        <f>SUM(I43:I54)</f>
        <v>128923</v>
      </c>
      <c r="J55" s="358">
        <f>SUM(J43:J54)</f>
        <v>1282917</v>
      </c>
      <c r="K55" s="358">
        <f>SUM(K43:K54)</f>
        <v>15197</v>
      </c>
    </row>
    <row r="58" ht="10.5">
      <c r="A58" s="1" t="s">
        <v>139</v>
      </c>
    </row>
    <row r="59" ht="11.25" thickBot="1"/>
    <row r="60" spans="1:10" ht="10.5">
      <c r="A60" s="40"/>
      <c r="B60" s="246" t="s">
        <v>2</v>
      </c>
      <c r="C60" s="245"/>
      <c r="D60" s="243"/>
      <c r="E60" s="245" t="s">
        <v>3</v>
      </c>
      <c r="F60" s="245"/>
      <c r="G60" s="243"/>
      <c r="H60" s="246" t="s">
        <v>89</v>
      </c>
      <c r="I60" s="245"/>
      <c r="J60" s="243"/>
    </row>
    <row r="61" spans="1:10" ht="11.25" thickBot="1">
      <c r="A61" s="40"/>
      <c r="B61" s="45" t="s">
        <v>136</v>
      </c>
      <c r="C61" s="232" t="s">
        <v>140</v>
      </c>
      <c r="D61" s="4" t="s">
        <v>141</v>
      </c>
      <c r="E61" s="45" t="s">
        <v>136</v>
      </c>
      <c r="F61" s="232" t="s">
        <v>140</v>
      </c>
      <c r="G61" s="41" t="s">
        <v>141</v>
      </c>
      <c r="H61" s="45" t="s">
        <v>136</v>
      </c>
      <c r="I61" s="259" t="s">
        <v>140</v>
      </c>
      <c r="J61" s="262" t="s">
        <v>141</v>
      </c>
    </row>
    <row r="62" spans="1:10" ht="10.5">
      <c r="A62" s="42" t="s">
        <v>50</v>
      </c>
      <c r="B62" s="263">
        <f aca="true" t="shared" si="4" ref="B62:B73">C62+D62</f>
        <v>3937229</v>
      </c>
      <c r="C62" s="228">
        <v>3331651</v>
      </c>
      <c r="D62" s="256">
        <v>605578</v>
      </c>
      <c r="E62" s="240">
        <f aca="true" t="shared" si="5" ref="E62:E73">F62+G62</f>
        <v>4110412</v>
      </c>
      <c r="F62" s="228">
        <v>3495267</v>
      </c>
      <c r="G62" s="256">
        <v>615145</v>
      </c>
      <c r="H62" s="255">
        <f aca="true" t="shared" si="6" ref="H62:J74">E62/B62*100</f>
        <v>104.3986011481679</v>
      </c>
      <c r="I62" s="229">
        <f t="shared" si="6"/>
        <v>104.91095856078563</v>
      </c>
      <c r="J62" s="230">
        <f t="shared" si="6"/>
        <v>101.57981300509596</v>
      </c>
    </row>
    <row r="63" spans="1:10" ht="10.5">
      <c r="A63" s="6" t="s">
        <v>51</v>
      </c>
      <c r="B63" s="263">
        <f t="shared" si="4"/>
        <v>4115437</v>
      </c>
      <c r="C63" s="228">
        <v>3483334</v>
      </c>
      <c r="D63" s="256">
        <v>632103</v>
      </c>
      <c r="E63" s="240">
        <f t="shared" si="5"/>
        <v>4300929</v>
      </c>
      <c r="F63" s="228">
        <v>3653401</v>
      </c>
      <c r="G63" s="256">
        <v>647528</v>
      </c>
      <c r="H63" s="255">
        <f t="shared" si="6"/>
        <v>104.50722487065165</v>
      </c>
      <c r="I63" s="229">
        <f t="shared" si="6"/>
        <v>104.8823052856832</v>
      </c>
      <c r="J63" s="230">
        <f t="shared" si="6"/>
        <v>102.44026685524352</v>
      </c>
    </row>
    <row r="64" spans="1:10" ht="10.5">
      <c r="A64" s="6" t="s">
        <v>52</v>
      </c>
      <c r="B64" s="263">
        <f t="shared" si="4"/>
        <v>3886341</v>
      </c>
      <c r="C64" s="228">
        <v>3312198</v>
      </c>
      <c r="D64" s="256">
        <v>574143</v>
      </c>
      <c r="E64" s="240">
        <f t="shared" si="5"/>
        <v>3977075</v>
      </c>
      <c r="F64" s="228">
        <v>3371525</v>
      </c>
      <c r="G64" s="256">
        <v>605550</v>
      </c>
      <c r="H64" s="255">
        <f t="shared" si="6"/>
        <v>102.33468962193488</v>
      </c>
      <c r="I64" s="229">
        <f t="shared" si="6"/>
        <v>101.79116707394908</v>
      </c>
      <c r="J64" s="230">
        <f t="shared" si="6"/>
        <v>105.47023999247574</v>
      </c>
    </row>
    <row r="65" spans="1:10" ht="10.5">
      <c r="A65" s="6" t="s">
        <v>53</v>
      </c>
      <c r="B65" s="263">
        <f t="shared" si="4"/>
        <v>4066659</v>
      </c>
      <c r="C65" s="228">
        <v>3468685</v>
      </c>
      <c r="D65" s="256">
        <v>597974</v>
      </c>
      <c r="E65" s="240">
        <f t="shared" si="5"/>
        <v>4275180</v>
      </c>
      <c r="F65" s="228">
        <v>3633678</v>
      </c>
      <c r="G65" s="256">
        <v>641502</v>
      </c>
      <c r="H65" s="255">
        <f t="shared" si="6"/>
        <v>105.12757524051071</v>
      </c>
      <c r="I65" s="229">
        <f t="shared" si="6"/>
        <v>104.7566440884658</v>
      </c>
      <c r="J65" s="230">
        <f t="shared" si="6"/>
        <v>107.2792462548539</v>
      </c>
    </row>
    <row r="66" spans="1:10" ht="10.5">
      <c r="A66" s="6" t="s">
        <v>54</v>
      </c>
      <c r="B66" s="263">
        <f t="shared" si="4"/>
        <v>4370283</v>
      </c>
      <c r="C66" s="228">
        <v>3738771</v>
      </c>
      <c r="D66" s="256">
        <v>631512</v>
      </c>
      <c r="E66" s="240">
        <f t="shared" si="5"/>
        <v>4304948</v>
      </c>
      <c r="F66" s="228">
        <v>3655374</v>
      </c>
      <c r="G66" s="256">
        <v>649574</v>
      </c>
      <c r="H66" s="255">
        <f t="shared" si="6"/>
        <v>98.5050167231733</v>
      </c>
      <c r="I66" s="229">
        <f t="shared" si="6"/>
        <v>97.76940069343642</v>
      </c>
      <c r="J66" s="230">
        <f t="shared" si="6"/>
        <v>102.86011983936964</v>
      </c>
    </row>
    <row r="67" spans="1:10" ht="10.5">
      <c r="A67" s="6" t="s">
        <v>55</v>
      </c>
      <c r="B67" s="263">
        <f t="shared" si="4"/>
        <v>4050757</v>
      </c>
      <c r="C67" s="228">
        <v>3449172</v>
      </c>
      <c r="D67" s="256">
        <v>601585</v>
      </c>
      <c r="E67" s="240">
        <f t="shared" si="5"/>
        <v>4236013</v>
      </c>
      <c r="F67" s="228">
        <v>3599674</v>
      </c>
      <c r="G67" s="256">
        <v>636339</v>
      </c>
      <c r="H67" s="255">
        <f t="shared" si="6"/>
        <v>104.57336739774811</v>
      </c>
      <c r="I67" s="229">
        <f t="shared" si="6"/>
        <v>104.36342403336221</v>
      </c>
      <c r="J67" s="230">
        <f t="shared" si="6"/>
        <v>105.77707223418138</v>
      </c>
    </row>
    <row r="68" spans="1:10" ht="10.5">
      <c r="A68" s="6" t="s">
        <v>56</v>
      </c>
      <c r="B68" s="263">
        <f t="shared" si="4"/>
        <v>3795494</v>
      </c>
      <c r="C68" s="228">
        <v>3208772</v>
      </c>
      <c r="D68" s="256">
        <v>586722</v>
      </c>
      <c r="E68" s="240">
        <f t="shared" si="5"/>
        <v>3999090</v>
      </c>
      <c r="F68" s="228">
        <v>3402249</v>
      </c>
      <c r="G68" s="256">
        <v>596841</v>
      </c>
      <c r="H68" s="255">
        <f t="shared" si="6"/>
        <v>105.36415022655812</v>
      </c>
      <c r="I68" s="229">
        <f t="shared" si="6"/>
        <v>106.02962753352372</v>
      </c>
      <c r="J68" s="230">
        <f t="shared" si="6"/>
        <v>101.72466687801037</v>
      </c>
    </row>
    <row r="69" spans="1:10" ht="10.5">
      <c r="A69" s="6" t="s">
        <v>57</v>
      </c>
      <c r="B69" s="263">
        <f t="shared" si="4"/>
        <v>3686837</v>
      </c>
      <c r="C69" s="228">
        <v>3122390</v>
      </c>
      <c r="D69" s="256">
        <v>564447</v>
      </c>
      <c r="E69" s="240">
        <f t="shared" si="5"/>
        <v>3964170</v>
      </c>
      <c r="F69" s="228">
        <v>3376867</v>
      </c>
      <c r="G69" s="256">
        <v>587303</v>
      </c>
      <c r="H69" s="255">
        <f t="shared" si="6"/>
        <v>107.52224738983578</v>
      </c>
      <c r="I69" s="229">
        <f t="shared" si="6"/>
        <v>108.15007093924847</v>
      </c>
      <c r="J69" s="230">
        <f t="shared" si="6"/>
        <v>104.04927300526</v>
      </c>
    </row>
    <row r="70" spans="1:10" ht="10.5">
      <c r="A70" s="6" t="s">
        <v>58</v>
      </c>
      <c r="B70" s="263">
        <f t="shared" si="4"/>
        <v>3827018</v>
      </c>
      <c r="C70" s="228">
        <v>3244519</v>
      </c>
      <c r="D70" s="256">
        <v>582499</v>
      </c>
      <c r="E70" s="240">
        <f t="shared" si="5"/>
        <v>3806081</v>
      </c>
      <c r="F70" s="228">
        <v>3234124</v>
      </c>
      <c r="G70" s="256">
        <v>571957</v>
      </c>
      <c r="H70" s="255">
        <f t="shared" si="6"/>
        <v>99.4529160824433</v>
      </c>
      <c r="I70" s="229">
        <f t="shared" si="6"/>
        <v>99.67961352668915</v>
      </c>
      <c r="J70" s="230">
        <f t="shared" si="6"/>
        <v>98.1902114853416</v>
      </c>
    </row>
    <row r="71" spans="1:10" ht="10.5">
      <c r="A71" s="6" t="s">
        <v>59</v>
      </c>
      <c r="B71" s="263">
        <f t="shared" si="4"/>
        <v>3735259</v>
      </c>
      <c r="C71" s="228">
        <v>3169564</v>
      </c>
      <c r="D71" s="256">
        <v>565695</v>
      </c>
      <c r="E71" s="240">
        <f t="shared" si="5"/>
        <v>3511277</v>
      </c>
      <c r="F71" s="228">
        <v>2985931</v>
      </c>
      <c r="G71" s="256">
        <v>525346</v>
      </c>
      <c r="H71" s="255">
        <f t="shared" si="6"/>
        <v>94.00357512022593</v>
      </c>
      <c r="I71" s="229">
        <f t="shared" si="6"/>
        <v>94.20636402987918</v>
      </c>
      <c r="J71" s="230">
        <f t="shared" si="6"/>
        <v>92.86735785184595</v>
      </c>
    </row>
    <row r="72" spans="1:10" ht="10.5">
      <c r="A72" s="6" t="s">
        <v>60</v>
      </c>
      <c r="B72" s="263">
        <f t="shared" si="4"/>
        <v>3433558</v>
      </c>
      <c r="C72" s="228">
        <v>2917712</v>
      </c>
      <c r="D72" s="256">
        <v>515846</v>
      </c>
      <c r="E72" s="240">
        <f t="shared" si="5"/>
        <v>0</v>
      </c>
      <c r="F72" s="228"/>
      <c r="G72" s="256"/>
      <c r="H72" s="255">
        <f t="shared" si="6"/>
        <v>0</v>
      </c>
      <c r="I72" s="229">
        <f t="shared" si="6"/>
        <v>0</v>
      </c>
      <c r="J72" s="230">
        <f t="shared" si="6"/>
        <v>0</v>
      </c>
    </row>
    <row r="73" spans="1:10" ht="10.5">
      <c r="A73" s="46" t="s">
        <v>61</v>
      </c>
      <c r="B73" s="264">
        <f t="shared" si="4"/>
        <v>3775952</v>
      </c>
      <c r="C73" s="248">
        <v>3197907</v>
      </c>
      <c r="D73" s="257">
        <v>578045</v>
      </c>
      <c r="E73" s="247">
        <f t="shared" si="5"/>
        <v>0</v>
      </c>
      <c r="F73" s="248"/>
      <c r="G73" s="257"/>
      <c r="H73" s="261">
        <f t="shared" si="6"/>
        <v>0</v>
      </c>
      <c r="I73" s="260">
        <f t="shared" si="6"/>
        <v>0</v>
      </c>
      <c r="J73" s="265">
        <f t="shared" si="6"/>
        <v>0</v>
      </c>
    </row>
    <row r="74" spans="1:10" ht="11.25" thickBot="1">
      <c r="A74" s="226" t="s">
        <v>73</v>
      </c>
      <c r="B74" s="258">
        <f aca="true" t="shared" si="7" ref="B74:G74">SUM(B62:B73)</f>
        <v>46680824</v>
      </c>
      <c r="C74" s="266">
        <f t="shared" si="7"/>
        <v>39644675</v>
      </c>
      <c r="D74" s="270">
        <f t="shared" si="7"/>
        <v>7036149</v>
      </c>
      <c r="E74" s="241">
        <f t="shared" si="7"/>
        <v>40485175</v>
      </c>
      <c r="F74" s="266">
        <f t="shared" si="7"/>
        <v>34408090</v>
      </c>
      <c r="G74" s="241">
        <f t="shared" si="7"/>
        <v>6077085</v>
      </c>
      <c r="H74" s="267">
        <f t="shared" si="6"/>
        <v>86.72763574181981</v>
      </c>
      <c r="I74" s="268">
        <f t="shared" si="6"/>
        <v>86.79120209712906</v>
      </c>
      <c r="J74" s="269">
        <f t="shared" si="6"/>
        <v>86.36947568904525</v>
      </c>
    </row>
    <row r="77" spans="2:10" ht="11.25" thickBot="1">
      <c r="B77" s="2" t="s">
        <v>142</v>
      </c>
      <c r="H77" s="2" t="s">
        <v>143</v>
      </c>
      <c r="J77" s="2"/>
    </row>
    <row r="78" spans="2:10" ht="10.5">
      <c r="B78" s="246" t="s">
        <v>2</v>
      </c>
      <c r="C78" s="245"/>
      <c r="D78" s="243"/>
      <c r="E78" s="242" t="s">
        <v>3</v>
      </c>
      <c r="F78" s="245"/>
      <c r="G78" s="243"/>
      <c r="H78" s="242" t="s">
        <v>76</v>
      </c>
      <c r="I78" s="245"/>
      <c r="J78" s="243"/>
    </row>
    <row r="79" spans="2:10" ht="11.25" thickBot="1">
      <c r="B79" s="249" t="s">
        <v>144</v>
      </c>
      <c r="C79" s="272" t="s">
        <v>145</v>
      </c>
      <c r="D79" s="271" t="s">
        <v>146</v>
      </c>
      <c r="E79" s="249" t="s">
        <v>144</v>
      </c>
      <c r="F79" s="272" t="s">
        <v>145</v>
      </c>
      <c r="G79" s="271" t="s">
        <v>146</v>
      </c>
      <c r="H79" s="249" t="s">
        <v>144</v>
      </c>
      <c r="I79" s="272" t="s">
        <v>145</v>
      </c>
      <c r="J79" s="271" t="s">
        <v>146</v>
      </c>
    </row>
    <row r="80" spans="1:10" ht="10.5">
      <c r="A80" s="330" t="s">
        <v>50</v>
      </c>
      <c r="B80" s="321">
        <v>374407</v>
      </c>
      <c r="C80" s="311">
        <v>114251</v>
      </c>
      <c r="D80" s="359">
        <f aca="true" t="shared" si="8" ref="D80:D92">C80/B80*100</f>
        <v>30.515188017318053</v>
      </c>
      <c r="E80" s="321">
        <v>326975</v>
      </c>
      <c r="F80" s="311">
        <v>135141</v>
      </c>
      <c r="G80" s="359">
        <f aca="true" t="shared" si="9" ref="G80:G92">F80/E80*100</f>
        <v>41.33068277391238</v>
      </c>
      <c r="H80" s="360">
        <f aca="true" t="shared" si="10" ref="H80:I92">E80/B80*100</f>
        <v>87.3314334400799</v>
      </c>
      <c r="I80" s="361">
        <f t="shared" si="10"/>
        <v>118.28430385729665</v>
      </c>
      <c r="J80" s="359">
        <f aca="true" t="shared" si="11" ref="J80:J92">G80-D80</f>
        <v>10.815494756594326</v>
      </c>
    </row>
    <row r="81" spans="1:10" ht="10.5">
      <c r="A81" s="300" t="s">
        <v>51</v>
      </c>
      <c r="B81" s="321">
        <v>353204</v>
      </c>
      <c r="C81" s="311">
        <v>111138</v>
      </c>
      <c r="D81" s="359">
        <f t="shared" si="8"/>
        <v>31.465668565474907</v>
      </c>
      <c r="E81" s="321">
        <v>319936</v>
      </c>
      <c r="F81" s="311">
        <v>132731</v>
      </c>
      <c r="G81" s="359">
        <f t="shared" si="9"/>
        <v>41.48673484696939</v>
      </c>
      <c r="H81" s="360">
        <f t="shared" si="10"/>
        <v>90.58108062196351</v>
      </c>
      <c r="I81" s="361">
        <f t="shared" si="10"/>
        <v>119.42899818243986</v>
      </c>
      <c r="J81" s="359">
        <f t="shared" si="11"/>
        <v>10.021066281494484</v>
      </c>
    </row>
    <row r="82" spans="1:10" ht="10.5">
      <c r="A82" s="300" t="s">
        <v>52</v>
      </c>
      <c r="B82" s="321">
        <v>441318</v>
      </c>
      <c r="C82" s="311">
        <v>154370</v>
      </c>
      <c r="D82" s="359">
        <f t="shared" si="8"/>
        <v>34.97931197005334</v>
      </c>
      <c r="E82" s="321">
        <v>419052</v>
      </c>
      <c r="F82" s="311">
        <v>182429</v>
      </c>
      <c r="G82" s="359">
        <f t="shared" si="9"/>
        <v>43.533738056374865</v>
      </c>
      <c r="H82" s="360">
        <f t="shared" si="10"/>
        <v>94.95465854553859</v>
      </c>
      <c r="I82" s="361">
        <f t="shared" si="10"/>
        <v>118.17645915657187</v>
      </c>
      <c r="J82" s="359">
        <f t="shared" si="11"/>
        <v>8.554426086321527</v>
      </c>
    </row>
    <row r="83" spans="1:10" ht="10.5">
      <c r="A83" s="300" t="s">
        <v>53</v>
      </c>
      <c r="B83" s="321">
        <v>524321</v>
      </c>
      <c r="C83" s="311">
        <v>191266</v>
      </c>
      <c r="D83" s="359">
        <f t="shared" si="8"/>
        <v>36.47879829341186</v>
      </c>
      <c r="E83" s="321">
        <v>471624</v>
      </c>
      <c r="F83" s="311">
        <v>206066</v>
      </c>
      <c r="G83" s="359">
        <f t="shared" si="9"/>
        <v>43.69285702169525</v>
      </c>
      <c r="H83" s="360">
        <f t="shared" si="10"/>
        <v>89.94947751472857</v>
      </c>
      <c r="I83" s="361">
        <f t="shared" si="10"/>
        <v>107.73791473654492</v>
      </c>
      <c r="J83" s="359">
        <f t="shared" si="11"/>
        <v>7.2140587282833835</v>
      </c>
    </row>
    <row r="84" spans="1:10" ht="10.5">
      <c r="A84" s="300" t="s">
        <v>54</v>
      </c>
      <c r="B84" s="321">
        <v>290141</v>
      </c>
      <c r="C84" s="311">
        <v>104025</v>
      </c>
      <c r="D84" s="359">
        <f t="shared" si="8"/>
        <v>35.85325755408577</v>
      </c>
      <c r="E84" s="321">
        <v>260210</v>
      </c>
      <c r="F84" s="311">
        <v>103158</v>
      </c>
      <c r="G84" s="359">
        <f t="shared" si="9"/>
        <v>39.644133584412586</v>
      </c>
      <c r="H84" s="360">
        <f t="shared" si="10"/>
        <v>89.68398123670906</v>
      </c>
      <c r="I84" s="361">
        <f t="shared" si="10"/>
        <v>99.16654650324442</v>
      </c>
      <c r="J84" s="359">
        <f t="shared" si="11"/>
        <v>3.790876030326814</v>
      </c>
    </row>
    <row r="85" spans="1:10" ht="10.5">
      <c r="A85" s="300" t="s">
        <v>55</v>
      </c>
      <c r="B85" s="321">
        <v>511908</v>
      </c>
      <c r="C85" s="311">
        <v>179839</v>
      </c>
      <c r="D85" s="359">
        <f t="shared" si="8"/>
        <v>35.13111731014167</v>
      </c>
      <c r="E85" s="321">
        <v>466290</v>
      </c>
      <c r="F85" s="311">
        <v>183097</v>
      </c>
      <c r="G85" s="359">
        <f t="shared" si="9"/>
        <v>39.26676531772073</v>
      </c>
      <c r="H85" s="360">
        <f t="shared" si="10"/>
        <v>91.08863311376263</v>
      </c>
      <c r="I85" s="361">
        <f t="shared" si="10"/>
        <v>101.81162039379667</v>
      </c>
      <c r="J85" s="359">
        <f t="shared" si="11"/>
        <v>4.135648007579064</v>
      </c>
    </row>
    <row r="86" spans="1:10" ht="10.5">
      <c r="A86" s="300" t="s">
        <v>56</v>
      </c>
      <c r="B86" s="321">
        <v>447278</v>
      </c>
      <c r="C86" s="311">
        <v>166494</v>
      </c>
      <c r="D86" s="359">
        <f t="shared" si="8"/>
        <v>37.223829475180985</v>
      </c>
      <c r="E86" s="321">
        <v>389138</v>
      </c>
      <c r="F86" s="311">
        <v>164582</v>
      </c>
      <c r="G86" s="359">
        <f t="shared" si="9"/>
        <v>42.29399339051956</v>
      </c>
      <c r="H86" s="360">
        <f t="shared" si="10"/>
        <v>87.00137274804483</v>
      </c>
      <c r="I86" s="361">
        <f t="shared" si="10"/>
        <v>98.8516102682379</v>
      </c>
      <c r="J86" s="359">
        <f t="shared" si="11"/>
        <v>5.070163915338576</v>
      </c>
    </row>
    <row r="87" spans="1:10" ht="10.5">
      <c r="A87" s="300" t="s">
        <v>57</v>
      </c>
      <c r="B87" s="321">
        <v>507545</v>
      </c>
      <c r="C87" s="311">
        <v>195456</v>
      </c>
      <c r="D87" s="359">
        <f t="shared" si="8"/>
        <v>38.51008284979657</v>
      </c>
      <c r="E87" s="321">
        <v>388245</v>
      </c>
      <c r="F87" s="311">
        <v>166246</v>
      </c>
      <c r="G87" s="359">
        <f t="shared" si="9"/>
        <v>42.81986889721696</v>
      </c>
      <c r="H87" s="360">
        <f t="shared" si="10"/>
        <v>76.49469505167029</v>
      </c>
      <c r="I87" s="361">
        <f t="shared" si="10"/>
        <v>85.0554600523903</v>
      </c>
      <c r="J87" s="359">
        <f t="shared" si="11"/>
        <v>4.3097860474203955</v>
      </c>
    </row>
    <row r="88" spans="1:10" ht="10.5">
      <c r="A88" s="300" t="s">
        <v>58</v>
      </c>
      <c r="B88" s="321">
        <v>432602</v>
      </c>
      <c r="C88" s="311">
        <v>167902</v>
      </c>
      <c r="D88" s="359">
        <f t="shared" si="8"/>
        <v>38.81211829811235</v>
      </c>
      <c r="E88" s="321">
        <v>392150</v>
      </c>
      <c r="F88" s="311">
        <v>171983</v>
      </c>
      <c r="G88" s="359">
        <f t="shared" si="9"/>
        <v>43.85643248756853</v>
      </c>
      <c r="H88" s="360">
        <f t="shared" si="10"/>
        <v>90.6491417053088</v>
      </c>
      <c r="I88" s="361">
        <f t="shared" si="10"/>
        <v>102.43058450762945</v>
      </c>
      <c r="J88" s="359">
        <f t="shared" si="11"/>
        <v>5.0443141894561805</v>
      </c>
    </row>
    <row r="89" spans="1:10" ht="10.5">
      <c r="A89" s="300" t="s">
        <v>59</v>
      </c>
      <c r="B89" s="321">
        <v>336643</v>
      </c>
      <c r="C89" s="311">
        <v>133487</v>
      </c>
      <c r="D89" s="359">
        <f t="shared" si="8"/>
        <v>39.65239140573249</v>
      </c>
      <c r="E89" s="321">
        <v>257568</v>
      </c>
      <c r="F89" s="311">
        <v>111028</v>
      </c>
      <c r="G89" s="359">
        <f t="shared" si="9"/>
        <v>43.10628649521679</v>
      </c>
      <c r="H89" s="360">
        <f t="shared" si="10"/>
        <v>76.51072501136218</v>
      </c>
      <c r="I89" s="361">
        <f t="shared" si="10"/>
        <v>83.17514065040041</v>
      </c>
      <c r="J89" s="359">
        <f t="shared" si="11"/>
        <v>3.4538950894843055</v>
      </c>
    </row>
    <row r="90" spans="1:10" ht="10.5">
      <c r="A90" s="300" t="s">
        <v>60</v>
      </c>
      <c r="B90" s="321">
        <v>511375</v>
      </c>
      <c r="C90" s="311">
        <v>202744</v>
      </c>
      <c r="D90" s="359">
        <f t="shared" si="8"/>
        <v>39.64683451478856</v>
      </c>
      <c r="E90" s="321">
        <v>396904</v>
      </c>
      <c r="F90" s="311">
        <v>185727</v>
      </c>
      <c r="G90" s="359">
        <f t="shared" si="9"/>
        <v>46.793935057343845</v>
      </c>
      <c r="H90" s="360">
        <f t="shared" si="10"/>
        <v>77.61505744316793</v>
      </c>
      <c r="I90" s="361">
        <f t="shared" si="10"/>
        <v>91.606656670481</v>
      </c>
      <c r="J90" s="359">
        <f t="shared" si="11"/>
        <v>7.147100542555286</v>
      </c>
    </row>
    <row r="91" spans="1:10" ht="10.5">
      <c r="A91" s="302" t="s">
        <v>61</v>
      </c>
      <c r="B91" s="325">
        <v>830866</v>
      </c>
      <c r="C91" s="315">
        <v>301731</v>
      </c>
      <c r="D91" s="362">
        <f t="shared" si="8"/>
        <v>36.31524216901402</v>
      </c>
      <c r="E91" s="325">
        <v>658997</v>
      </c>
      <c r="F91" s="315">
        <v>295066</v>
      </c>
      <c r="G91" s="362">
        <f t="shared" si="9"/>
        <v>44.77501415029204</v>
      </c>
      <c r="H91" s="363">
        <f t="shared" si="10"/>
        <v>79.3144742954941</v>
      </c>
      <c r="I91" s="364">
        <f t="shared" si="10"/>
        <v>97.79107880860766</v>
      </c>
      <c r="J91" s="362">
        <f t="shared" si="11"/>
        <v>8.459771981278017</v>
      </c>
    </row>
    <row r="92" spans="1:10" ht="11.25" thickBot="1">
      <c r="A92" s="307" t="s">
        <v>73</v>
      </c>
      <c r="B92" s="327">
        <f>SUM(B80:B91)</f>
        <v>5561608</v>
      </c>
      <c r="C92" s="319">
        <f>SUM(C80:C91)</f>
        <v>2022703</v>
      </c>
      <c r="D92" s="329">
        <f t="shared" si="8"/>
        <v>36.3690321216454</v>
      </c>
      <c r="E92" s="327">
        <f>SUM(E80:E91)</f>
        <v>4747089</v>
      </c>
      <c r="F92" s="319">
        <f>SUM(F80:F91)</f>
        <v>2037254</v>
      </c>
      <c r="G92" s="329">
        <f t="shared" si="9"/>
        <v>42.915858539833565</v>
      </c>
      <c r="H92" s="365">
        <f t="shared" si="10"/>
        <v>85.354613270119</v>
      </c>
      <c r="I92" s="328">
        <f t="shared" si="10"/>
        <v>100.71938391350584</v>
      </c>
      <c r="J92" s="329">
        <f t="shared" si="11"/>
        <v>6.546826418188168</v>
      </c>
    </row>
    <row r="93" ht="10.5">
      <c r="B93" s="2" t="s">
        <v>147</v>
      </c>
    </row>
    <row r="95" ht="10.5">
      <c r="B95" s="40"/>
    </row>
    <row r="96" ht="11.25" thickBot="1">
      <c r="B96" s="120" t="s">
        <v>148</v>
      </c>
    </row>
    <row r="97" spans="1:3" ht="11.25" thickBot="1">
      <c r="A97" s="9"/>
      <c r="B97" s="224" t="s">
        <v>149</v>
      </c>
      <c r="C97" s="9" t="s">
        <v>150</v>
      </c>
    </row>
    <row r="98" spans="1:3" ht="10.5">
      <c r="A98" s="5" t="s">
        <v>151</v>
      </c>
      <c r="B98" s="240">
        <v>64403715</v>
      </c>
      <c r="C98" s="6"/>
    </row>
    <row r="99" spans="1:3" ht="10.5">
      <c r="A99" s="6" t="s">
        <v>152</v>
      </c>
      <c r="B99" s="240">
        <v>65845522</v>
      </c>
      <c r="C99" s="225">
        <f>B99/B98*100-100</f>
        <v>2.2387016028500852</v>
      </c>
    </row>
    <row r="100" spans="1:3" ht="11.25" thickBot="1">
      <c r="A100" s="7" t="s">
        <v>153</v>
      </c>
      <c r="B100" s="241">
        <v>67352268</v>
      </c>
      <c r="C100" s="273">
        <f>B100/B99*100-100</f>
        <v>2.2883044347343855</v>
      </c>
    </row>
    <row r="101" ht="10.5">
      <c r="B101" s="1" t="s">
        <v>154</v>
      </c>
    </row>
  </sheetData>
  <printOptions/>
  <pageMargins left="0.75" right="0.75" top="1" bottom="1" header="0.512" footer="0.512"/>
  <pageSetup horizontalDpi="400" verticalDpi="400" orientation="landscape" paperSize="9" scale="120" r:id="rId2"/>
  <headerFooter alignWithMargins="0">
    <oddHeader>&amp;C&amp;A</oddHeader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23"/>
  <sheetViews>
    <sheetView workbookViewId="0" topLeftCell="A1">
      <selection activeCell="L23" sqref="L23"/>
    </sheetView>
  </sheetViews>
  <sheetFormatPr defaultColWidth="9.00390625" defaultRowHeight="13.5"/>
  <cols>
    <col min="3" max="3" width="12.875" style="0" customWidth="1"/>
    <col min="4" max="4" width="15.00390625" style="0" customWidth="1"/>
    <col min="5" max="5" width="11.875" style="0" customWidth="1"/>
    <col min="6" max="6" width="12.75390625" style="0" customWidth="1"/>
    <col min="8" max="8" width="11.25390625" style="0" customWidth="1"/>
    <col min="11" max="11" width="19.25390625" style="0" customWidth="1"/>
    <col min="12" max="13" width="10.25390625" style="0" customWidth="1"/>
    <col min="15" max="15" width="21.125" style="0" customWidth="1"/>
    <col min="16" max="17" width="10.25390625" style="0" customWidth="1"/>
    <col min="24" max="27" width="10.625" style="0" customWidth="1"/>
    <col min="29" max="32" width="10.625" style="0" customWidth="1"/>
  </cols>
  <sheetData>
    <row r="1" ht="13.5">
      <c r="C1" t="s">
        <v>155</v>
      </c>
    </row>
    <row r="2" spans="9:29" ht="14.25" thickBot="1">
      <c r="I2" s="33" t="s">
        <v>156</v>
      </c>
      <c r="X2" s="33" t="s">
        <v>157</v>
      </c>
      <c r="AC2" s="33" t="s">
        <v>158</v>
      </c>
    </row>
    <row r="3" spans="2:19" ht="14.25" thickBot="1">
      <c r="B3" s="29"/>
      <c r="C3" s="142" t="s">
        <v>159</v>
      </c>
      <c r="D3" s="31" t="s">
        <v>160</v>
      </c>
      <c r="E3" s="31" t="s">
        <v>161</v>
      </c>
      <c r="F3" s="30" t="s">
        <v>162</v>
      </c>
      <c r="O3" t="s">
        <v>163</v>
      </c>
      <c r="S3" s="33" t="s">
        <v>164</v>
      </c>
    </row>
    <row r="4" spans="2:32" ht="14.25" thickBot="1">
      <c r="B4" s="304">
        <v>5</v>
      </c>
      <c r="C4" s="366">
        <v>-1.1</v>
      </c>
      <c r="D4" s="366">
        <v>2.2</v>
      </c>
      <c r="E4" s="366">
        <v>3.1</v>
      </c>
      <c r="F4" s="367">
        <v>8.2</v>
      </c>
      <c r="I4" s="20"/>
      <c r="J4" s="22"/>
      <c r="K4" s="20" t="s">
        <v>165</v>
      </c>
      <c r="L4" s="21"/>
      <c r="M4" s="22"/>
      <c r="N4" s="21"/>
      <c r="O4" s="20" t="s">
        <v>166</v>
      </c>
      <c r="P4" s="21"/>
      <c r="Q4" s="22"/>
      <c r="R4" s="21"/>
      <c r="S4" s="20" t="s">
        <v>167</v>
      </c>
      <c r="T4" s="21"/>
      <c r="U4" s="22"/>
      <c r="X4" s="29"/>
      <c r="Y4" s="49" t="s">
        <v>168</v>
      </c>
      <c r="Z4" s="49" t="s">
        <v>169</v>
      </c>
      <c r="AA4" s="30" t="s">
        <v>170</v>
      </c>
      <c r="AC4" s="29"/>
      <c r="AD4" s="49" t="s">
        <v>168</v>
      </c>
      <c r="AE4" s="49" t="s">
        <v>169</v>
      </c>
      <c r="AF4" s="30" t="s">
        <v>170</v>
      </c>
    </row>
    <row r="5" spans="2:32" ht="13.5">
      <c r="B5" s="304">
        <v>6</v>
      </c>
      <c r="C5" s="366">
        <v>5.1</v>
      </c>
      <c r="D5" s="366">
        <v>9</v>
      </c>
      <c r="E5" s="366">
        <v>6.9</v>
      </c>
      <c r="F5" s="367">
        <v>9.1</v>
      </c>
      <c r="I5" s="23"/>
      <c r="J5" s="25"/>
      <c r="K5" s="23" t="s">
        <v>171</v>
      </c>
      <c r="L5" s="24"/>
      <c r="M5" s="25"/>
      <c r="N5" s="24"/>
      <c r="O5" s="23" t="s">
        <v>171</v>
      </c>
      <c r="P5" s="24"/>
      <c r="Q5" s="25"/>
      <c r="R5" s="24"/>
      <c r="S5" s="23" t="s">
        <v>171</v>
      </c>
      <c r="T5" s="24"/>
      <c r="U5" s="25"/>
      <c r="X5" s="304" t="s">
        <v>50</v>
      </c>
      <c r="Y5" s="305">
        <f>Z5+AA5</f>
        <v>6168374</v>
      </c>
      <c r="Z5" s="305">
        <v>2145499</v>
      </c>
      <c r="AA5" s="303">
        <v>4022875</v>
      </c>
      <c r="AC5" s="304" t="s">
        <v>50</v>
      </c>
      <c r="AD5" s="305">
        <f>AE5+AF5</f>
        <v>5910766</v>
      </c>
      <c r="AE5" s="305">
        <v>1988177</v>
      </c>
      <c r="AF5" s="303">
        <v>3922589</v>
      </c>
    </row>
    <row r="6" spans="2:32" ht="13.5">
      <c r="B6" s="304">
        <v>7</v>
      </c>
      <c r="C6" s="366">
        <v>4.7</v>
      </c>
      <c r="D6" s="366">
        <v>7.1</v>
      </c>
      <c r="E6" s="366">
        <v>6</v>
      </c>
      <c r="F6" s="367">
        <v>7.5</v>
      </c>
      <c r="I6" s="23"/>
      <c r="J6" s="25"/>
      <c r="K6" s="23"/>
      <c r="L6" s="24" t="s">
        <v>172</v>
      </c>
      <c r="M6" s="25" t="s">
        <v>170</v>
      </c>
      <c r="N6" s="24"/>
      <c r="O6" s="23"/>
      <c r="P6" s="24" t="s">
        <v>172</v>
      </c>
      <c r="Q6" s="25" t="s">
        <v>170</v>
      </c>
      <c r="R6" s="24"/>
      <c r="S6" s="23"/>
      <c r="T6" s="24" t="s">
        <v>172</v>
      </c>
      <c r="U6" s="25" t="s">
        <v>170</v>
      </c>
      <c r="X6" s="304" t="s">
        <v>51</v>
      </c>
      <c r="Y6" s="305">
        <f aca="true" t="shared" si="0" ref="Y6:Y17">Z6+AA6</f>
        <v>6766981</v>
      </c>
      <c r="Z6" s="305">
        <v>2283428</v>
      </c>
      <c r="AA6" s="303">
        <v>4483553</v>
      </c>
      <c r="AC6" s="304" t="s">
        <v>51</v>
      </c>
      <c r="AD6" s="305">
        <f aca="true" t="shared" si="1" ref="AD6:AD17">AE6+AF6</f>
        <v>6611458</v>
      </c>
      <c r="AE6" s="305">
        <v>2169496</v>
      </c>
      <c r="AF6" s="303">
        <v>4441962</v>
      </c>
    </row>
    <row r="7" spans="2:32" ht="14.25" thickBot="1">
      <c r="B7" s="304">
        <v>8</v>
      </c>
      <c r="C7" s="366">
        <v>5.2974895545129925</v>
      </c>
      <c r="D7" s="366">
        <v>6.853930257379687</v>
      </c>
      <c r="E7" s="366">
        <v>1.2334243127110511</v>
      </c>
      <c r="F7" s="368">
        <v>5.195983518763157</v>
      </c>
      <c r="I7" s="26"/>
      <c r="J7" s="28"/>
      <c r="K7" s="26"/>
      <c r="L7" s="27"/>
      <c r="M7" s="28"/>
      <c r="N7" s="27"/>
      <c r="O7" s="26"/>
      <c r="P7" s="27"/>
      <c r="Q7" s="28"/>
      <c r="R7" s="27"/>
      <c r="S7" s="26"/>
      <c r="T7" s="27"/>
      <c r="U7" s="28"/>
      <c r="X7" s="304" t="s">
        <v>52</v>
      </c>
      <c r="Y7" s="305">
        <f t="shared" si="0"/>
        <v>6758017</v>
      </c>
      <c r="Z7" s="305">
        <v>2399302</v>
      </c>
      <c r="AA7" s="303">
        <v>4358715</v>
      </c>
      <c r="AC7" s="304" t="s">
        <v>52</v>
      </c>
      <c r="AD7" s="305">
        <f t="shared" si="1"/>
        <v>6460489</v>
      </c>
      <c r="AE7" s="305">
        <v>2161568</v>
      </c>
      <c r="AF7" s="303">
        <v>4298921</v>
      </c>
    </row>
    <row r="8" spans="2:32" ht="14.25" thickBot="1">
      <c r="B8" s="306">
        <v>9</v>
      </c>
      <c r="C8" s="369">
        <f>L10</f>
        <v>7.382025759975392</v>
      </c>
      <c r="D8" s="369">
        <f>M10</f>
        <v>5.136693187278382</v>
      </c>
      <c r="E8" s="369">
        <v>4.313928924799356</v>
      </c>
      <c r="F8" s="370">
        <v>4.7364326151268585</v>
      </c>
      <c r="I8" s="371" t="s">
        <v>173</v>
      </c>
      <c r="J8" s="372"/>
      <c r="K8" s="373">
        <f>L8+M8</f>
        <v>69042367</v>
      </c>
      <c r="L8" s="374">
        <v>28796689</v>
      </c>
      <c r="M8" s="375">
        <v>40245678</v>
      </c>
      <c r="N8" s="376"/>
      <c r="O8" s="373">
        <f>P8+Q8</f>
        <v>110905949</v>
      </c>
      <c r="P8" s="374">
        <v>44344356</v>
      </c>
      <c r="Q8" s="375">
        <v>66561593</v>
      </c>
      <c r="R8" s="377"/>
      <c r="S8" s="378">
        <f aca="true" t="shared" si="2" ref="S8:U9">K8/O8*100</f>
        <v>62.25307805625467</v>
      </c>
      <c r="T8" s="379">
        <f t="shared" si="2"/>
        <v>64.93879175965482</v>
      </c>
      <c r="U8" s="380">
        <f t="shared" si="2"/>
        <v>60.463814320068934</v>
      </c>
      <c r="X8" s="304" t="s">
        <v>53</v>
      </c>
      <c r="Y8" s="305">
        <f t="shared" si="0"/>
        <v>7788319</v>
      </c>
      <c r="Z8" s="305">
        <v>2781737</v>
      </c>
      <c r="AA8" s="303">
        <v>5006582</v>
      </c>
      <c r="AC8" s="304" t="s">
        <v>53</v>
      </c>
      <c r="AD8" s="305">
        <f t="shared" si="1"/>
        <v>7149171</v>
      </c>
      <c r="AE8" s="305">
        <v>2519810</v>
      </c>
      <c r="AF8" s="303">
        <v>4629361</v>
      </c>
    </row>
    <row r="9" spans="2:32" ht="13.5">
      <c r="B9" s="24"/>
      <c r="C9" s="24"/>
      <c r="D9" s="24"/>
      <c r="E9" s="24"/>
      <c r="F9" s="24"/>
      <c r="I9" s="381" t="s">
        <v>174</v>
      </c>
      <c r="J9" s="382"/>
      <c r="K9" s="383">
        <f>L9+M9</f>
        <v>73235443</v>
      </c>
      <c r="L9" s="384">
        <f>SUM(L12:L23)</f>
        <v>30922468</v>
      </c>
      <c r="M9" s="385">
        <f>SUM(M12:M23)</f>
        <v>42312975</v>
      </c>
      <c r="N9" s="386"/>
      <c r="O9" s="383">
        <f>P9+Q9</f>
        <v>115971578</v>
      </c>
      <c r="P9" s="384">
        <f>SUM(P12:P23)</f>
        <v>46257340</v>
      </c>
      <c r="Q9" s="385">
        <f>SUM(Q12:Q23)</f>
        <v>69714238</v>
      </c>
      <c r="R9" s="387"/>
      <c r="S9" s="388">
        <f t="shared" si="2"/>
        <v>63.14947529643858</v>
      </c>
      <c r="T9" s="366">
        <f t="shared" si="2"/>
        <v>66.84878118802335</v>
      </c>
      <c r="U9" s="367">
        <f t="shared" si="2"/>
        <v>60.694882729694335</v>
      </c>
      <c r="X9" s="304" t="s">
        <v>54</v>
      </c>
      <c r="Y9" s="305">
        <f t="shared" si="0"/>
        <v>8950392</v>
      </c>
      <c r="Z9" s="305">
        <v>3026906</v>
      </c>
      <c r="AA9" s="303">
        <v>5923486</v>
      </c>
      <c r="AC9" s="304" t="s">
        <v>54</v>
      </c>
      <c r="AD9" s="305">
        <f t="shared" si="1"/>
        <v>8487154</v>
      </c>
      <c r="AE9" s="305">
        <v>2842308</v>
      </c>
      <c r="AF9" s="303">
        <v>5644846</v>
      </c>
    </row>
    <row r="10" spans="9:32" ht="13.5">
      <c r="I10" s="389" t="s">
        <v>175</v>
      </c>
      <c r="J10" s="382"/>
      <c r="K10" s="388">
        <f>K9/K8*100-100</f>
        <v>6.073192710788717</v>
      </c>
      <c r="L10" s="366">
        <f>L9/L8*100-100</f>
        <v>7.382025759975392</v>
      </c>
      <c r="M10" s="367">
        <f>M9/M8*100-100</f>
        <v>5.136693187278382</v>
      </c>
      <c r="N10" s="390"/>
      <c r="O10" s="388">
        <f>O9/O8*100-100</f>
        <v>4.567499801115261</v>
      </c>
      <c r="P10" s="366">
        <f>P9/P8*100-100</f>
        <v>4.313928924799356</v>
      </c>
      <c r="Q10" s="367">
        <f>Q9/Q8*100-100</f>
        <v>4.7364326151268585</v>
      </c>
      <c r="R10" s="387"/>
      <c r="S10" s="388">
        <f>S9-S8</f>
        <v>0.8963972401839087</v>
      </c>
      <c r="T10" s="366">
        <f>T9-T8</f>
        <v>1.909989428368533</v>
      </c>
      <c r="U10" s="367">
        <f>U9-U8</f>
        <v>0.23106840962540076</v>
      </c>
      <c r="X10" s="304" t="s">
        <v>55</v>
      </c>
      <c r="Y10" s="305">
        <f t="shared" si="0"/>
        <v>7202878</v>
      </c>
      <c r="Z10" s="305">
        <v>2609063</v>
      </c>
      <c r="AA10" s="303">
        <v>4593815</v>
      </c>
      <c r="AC10" s="304" t="s">
        <v>55</v>
      </c>
      <c r="AD10" s="305">
        <f t="shared" si="1"/>
        <v>6977594</v>
      </c>
      <c r="AE10" s="305">
        <v>2424527</v>
      </c>
      <c r="AF10" s="303">
        <v>4553067</v>
      </c>
    </row>
    <row r="11" spans="9:32" ht="14.25" thickBot="1">
      <c r="I11" s="26"/>
      <c r="J11" s="28"/>
      <c r="K11" s="35"/>
      <c r="L11" s="32"/>
      <c r="M11" s="28"/>
      <c r="N11" s="27"/>
      <c r="O11" s="35"/>
      <c r="P11" s="32"/>
      <c r="Q11" s="28"/>
      <c r="R11" s="27"/>
      <c r="S11" s="36"/>
      <c r="T11" s="37"/>
      <c r="U11" s="34"/>
      <c r="X11" s="304" t="s">
        <v>56</v>
      </c>
      <c r="Y11" s="305">
        <f t="shared" si="0"/>
        <v>8017508</v>
      </c>
      <c r="Z11" s="305">
        <v>2721325</v>
      </c>
      <c r="AA11" s="303">
        <v>5296183</v>
      </c>
      <c r="AC11" s="304" t="s">
        <v>56</v>
      </c>
      <c r="AD11" s="305">
        <f t="shared" si="1"/>
        <v>7533270</v>
      </c>
      <c r="AE11" s="305">
        <v>2499139</v>
      </c>
      <c r="AF11" s="303">
        <v>5034131</v>
      </c>
    </row>
    <row r="12" spans="9:32" ht="13.5">
      <c r="I12" s="391" t="s">
        <v>3</v>
      </c>
      <c r="J12" s="382">
        <v>4</v>
      </c>
      <c r="K12" s="383">
        <f aca="true" t="shared" si="3" ref="K12:K23">L12+M12</f>
        <v>5166914</v>
      </c>
      <c r="L12" s="384">
        <v>2153487</v>
      </c>
      <c r="M12" s="385">
        <v>3013427</v>
      </c>
      <c r="N12" s="386"/>
      <c r="O12" s="383">
        <f aca="true" t="shared" si="4" ref="O12:O23">P12+Q12</f>
        <v>9157716</v>
      </c>
      <c r="P12" s="384">
        <v>3624519</v>
      </c>
      <c r="Q12" s="385">
        <v>5533197</v>
      </c>
      <c r="R12" s="387"/>
      <c r="S12" s="392">
        <f aca="true" t="shared" si="5" ref="S12:U23">K12/O12*100</f>
        <v>56.42142647795586</v>
      </c>
      <c r="T12" s="393">
        <f t="shared" si="5"/>
        <v>59.4144216101502</v>
      </c>
      <c r="U12" s="394">
        <f t="shared" si="5"/>
        <v>54.46086593338354</v>
      </c>
      <c r="X12" s="304" t="s">
        <v>57</v>
      </c>
      <c r="Y12" s="305">
        <f t="shared" si="0"/>
        <v>7459314</v>
      </c>
      <c r="Z12" s="305">
        <v>2573107</v>
      </c>
      <c r="AA12" s="303">
        <v>4886207</v>
      </c>
      <c r="AC12" s="304" t="s">
        <v>57</v>
      </c>
      <c r="AD12" s="305">
        <f t="shared" si="1"/>
        <v>7110289</v>
      </c>
      <c r="AE12" s="305">
        <v>2380643</v>
      </c>
      <c r="AF12" s="303">
        <v>4729646</v>
      </c>
    </row>
    <row r="13" spans="9:32" ht="13.5">
      <c r="I13" s="395"/>
      <c r="J13" s="382">
        <v>5</v>
      </c>
      <c r="K13" s="383">
        <f t="shared" si="3"/>
        <v>5649110</v>
      </c>
      <c r="L13" s="384">
        <v>2271989</v>
      </c>
      <c r="M13" s="385">
        <v>3377121</v>
      </c>
      <c r="N13" s="386"/>
      <c r="O13" s="383">
        <f t="shared" si="4"/>
        <v>9544086</v>
      </c>
      <c r="P13" s="384">
        <v>3752403</v>
      </c>
      <c r="Q13" s="385">
        <v>5791683</v>
      </c>
      <c r="R13" s="387"/>
      <c r="S13" s="392">
        <f t="shared" si="5"/>
        <v>59.189638483978456</v>
      </c>
      <c r="T13" s="393">
        <f t="shared" si="5"/>
        <v>60.5475744476273</v>
      </c>
      <c r="U13" s="394">
        <f t="shared" si="5"/>
        <v>58.30983843556354</v>
      </c>
      <c r="X13" s="304" t="s">
        <v>58</v>
      </c>
      <c r="Y13" s="305">
        <f t="shared" si="0"/>
        <v>6125304</v>
      </c>
      <c r="Z13" s="305">
        <v>2317727</v>
      </c>
      <c r="AA13" s="303">
        <v>3807577</v>
      </c>
      <c r="AC13" s="304" t="s">
        <v>58</v>
      </c>
      <c r="AD13" s="305">
        <f t="shared" si="1"/>
        <v>5890049</v>
      </c>
      <c r="AE13" s="305">
        <v>2176444</v>
      </c>
      <c r="AF13" s="303">
        <v>3713605</v>
      </c>
    </row>
    <row r="14" spans="9:32" ht="13.5">
      <c r="I14" s="395"/>
      <c r="J14" s="382">
        <v>6</v>
      </c>
      <c r="K14" s="383">
        <f t="shared" si="3"/>
        <v>5749727</v>
      </c>
      <c r="L14" s="384">
        <v>2399834</v>
      </c>
      <c r="M14" s="385">
        <v>3349893</v>
      </c>
      <c r="N14" s="386"/>
      <c r="O14" s="383">
        <f t="shared" si="4"/>
        <v>9068338</v>
      </c>
      <c r="P14" s="384">
        <v>3544795</v>
      </c>
      <c r="Q14" s="385">
        <v>5523543</v>
      </c>
      <c r="R14" s="387"/>
      <c r="S14" s="392">
        <f t="shared" si="5"/>
        <v>63.404418758983184</v>
      </c>
      <c r="T14" s="393">
        <f t="shared" si="5"/>
        <v>67.7002196177776</v>
      </c>
      <c r="U14" s="394">
        <f t="shared" si="5"/>
        <v>60.64754089902079</v>
      </c>
      <c r="X14" s="304" t="s">
        <v>59</v>
      </c>
      <c r="Y14" s="305">
        <f t="shared" si="0"/>
        <v>6252764</v>
      </c>
      <c r="Z14" s="305">
        <v>2382170</v>
      </c>
      <c r="AA14" s="303">
        <v>3870594</v>
      </c>
      <c r="AC14" s="304" t="s">
        <v>59</v>
      </c>
      <c r="AD14" s="305">
        <f t="shared" si="1"/>
        <v>6022390</v>
      </c>
      <c r="AE14" s="305">
        <v>2198050</v>
      </c>
      <c r="AF14" s="303">
        <v>3824340</v>
      </c>
    </row>
    <row r="15" spans="9:32" ht="13.5">
      <c r="I15" s="395"/>
      <c r="J15" s="382">
        <v>7</v>
      </c>
      <c r="K15" s="383">
        <f t="shared" si="3"/>
        <v>6734166</v>
      </c>
      <c r="L15" s="384">
        <v>2829526</v>
      </c>
      <c r="M15" s="385">
        <v>3904640</v>
      </c>
      <c r="N15" s="386"/>
      <c r="O15" s="383">
        <f t="shared" si="4"/>
        <v>10154111</v>
      </c>
      <c r="P15" s="384">
        <v>3905738</v>
      </c>
      <c r="Q15" s="385">
        <v>6248373</v>
      </c>
      <c r="R15" s="387"/>
      <c r="S15" s="392">
        <f t="shared" si="5"/>
        <v>66.3196019818968</v>
      </c>
      <c r="T15" s="393">
        <f t="shared" si="5"/>
        <v>72.44536115837775</v>
      </c>
      <c r="U15" s="394">
        <f t="shared" si="5"/>
        <v>62.49050752891993</v>
      </c>
      <c r="X15" s="304" t="s">
        <v>60</v>
      </c>
      <c r="Y15" s="305">
        <f t="shared" si="0"/>
        <v>6341839</v>
      </c>
      <c r="Z15" s="305">
        <v>2410212</v>
      </c>
      <c r="AA15" s="303">
        <v>3931627</v>
      </c>
      <c r="AC15" s="304" t="s">
        <v>60</v>
      </c>
      <c r="AD15" s="305">
        <f t="shared" si="1"/>
        <v>6280013</v>
      </c>
      <c r="AE15" s="305">
        <v>2336653</v>
      </c>
      <c r="AF15" s="303">
        <v>3943360</v>
      </c>
    </row>
    <row r="16" spans="9:32" ht="13.5">
      <c r="I16" s="395"/>
      <c r="J16" s="382">
        <v>8</v>
      </c>
      <c r="K16" s="383">
        <f t="shared" si="3"/>
        <v>7726091</v>
      </c>
      <c r="L16" s="384">
        <v>3103866</v>
      </c>
      <c r="M16" s="385">
        <v>4622225</v>
      </c>
      <c r="N16" s="386"/>
      <c r="O16" s="383">
        <f t="shared" si="4"/>
        <v>10568642</v>
      </c>
      <c r="P16" s="384">
        <v>4102840</v>
      </c>
      <c r="Q16" s="385">
        <v>6465802</v>
      </c>
      <c r="R16" s="387"/>
      <c r="S16" s="392">
        <f t="shared" si="5"/>
        <v>73.10391439127184</v>
      </c>
      <c r="T16" s="393">
        <f t="shared" si="5"/>
        <v>75.6516461767946</v>
      </c>
      <c r="U16" s="394">
        <f t="shared" si="5"/>
        <v>71.48726484355691</v>
      </c>
      <c r="X16" s="406" t="s">
        <v>61</v>
      </c>
      <c r="Y16" s="407">
        <f t="shared" si="0"/>
        <v>7712316</v>
      </c>
      <c r="Z16" s="407">
        <v>2817129</v>
      </c>
      <c r="AA16" s="408">
        <v>4895187</v>
      </c>
      <c r="AC16" s="406" t="s">
        <v>61</v>
      </c>
      <c r="AD16" s="407">
        <f t="shared" si="1"/>
        <v>7695396</v>
      </c>
      <c r="AE16" s="407">
        <v>2794968</v>
      </c>
      <c r="AF16" s="408">
        <v>4900428</v>
      </c>
    </row>
    <row r="17" spans="9:32" ht="13.5">
      <c r="I17" s="395"/>
      <c r="J17" s="382">
        <v>9</v>
      </c>
      <c r="K17" s="383">
        <f t="shared" si="3"/>
        <v>6175495</v>
      </c>
      <c r="L17" s="384">
        <v>2630824</v>
      </c>
      <c r="M17" s="385">
        <v>3544671</v>
      </c>
      <c r="N17" s="386"/>
      <c r="O17" s="383">
        <f t="shared" si="4"/>
        <v>9603440</v>
      </c>
      <c r="P17" s="384">
        <v>3771734</v>
      </c>
      <c r="Q17" s="385">
        <v>5831706</v>
      </c>
      <c r="R17" s="387"/>
      <c r="S17" s="392">
        <f t="shared" si="5"/>
        <v>64.30503028081604</v>
      </c>
      <c r="T17" s="393">
        <f t="shared" si="5"/>
        <v>69.7510481916275</v>
      </c>
      <c r="U17" s="394">
        <f t="shared" si="5"/>
        <v>60.782745220695276</v>
      </c>
      <c r="X17" s="409" t="s">
        <v>174</v>
      </c>
      <c r="Y17" s="407">
        <f t="shared" si="0"/>
        <v>85544006</v>
      </c>
      <c r="Z17" s="407">
        <f>SUM(Z5:Z16)</f>
        <v>30467605</v>
      </c>
      <c r="AA17" s="408">
        <f>SUM(AA5:AA16)</f>
        <v>55076401</v>
      </c>
      <c r="AC17" s="413" t="s">
        <v>173</v>
      </c>
      <c r="AD17" s="407">
        <f t="shared" si="1"/>
        <v>82128039</v>
      </c>
      <c r="AE17" s="407">
        <f>SUM(AE5:AE16)</f>
        <v>28491783</v>
      </c>
      <c r="AF17" s="408">
        <f>SUM(AF5:AF16)</f>
        <v>53636256</v>
      </c>
    </row>
    <row r="18" spans="9:32" ht="14.25" thickBot="1">
      <c r="I18" s="395"/>
      <c r="J18" s="382">
        <v>10</v>
      </c>
      <c r="K18" s="383">
        <f t="shared" si="3"/>
        <v>6798639</v>
      </c>
      <c r="L18" s="384">
        <v>2738549</v>
      </c>
      <c r="M18" s="385">
        <v>4060090</v>
      </c>
      <c r="N18" s="386"/>
      <c r="O18" s="383">
        <f t="shared" si="4"/>
        <v>10041289</v>
      </c>
      <c r="P18" s="384">
        <v>3917661</v>
      </c>
      <c r="Q18" s="385">
        <v>6123628</v>
      </c>
      <c r="R18" s="387"/>
      <c r="S18" s="392">
        <f t="shared" si="5"/>
        <v>67.70683524794477</v>
      </c>
      <c r="T18" s="393">
        <f t="shared" si="5"/>
        <v>69.902653649716</v>
      </c>
      <c r="U18" s="394">
        <f t="shared" si="5"/>
        <v>66.30203532938317</v>
      </c>
      <c r="X18" s="306" t="s">
        <v>176</v>
      </c>
      <c r="Y18" s="410">
        <f>Y17/Y20*100-100</f>
        <v>4.159318841157273</v>
      </c>
      <c r="Z18" s="410">
        <f>Z17/Z20*100-100</f>
        <v>6.934708157787114</v>
      </c>
      <c r="AA18" s="370">
        <f>AA17/AA20*100-100</f>
        <v>2.685021489941434</v>
      </c>
      <c r="AC18" s="306" t="s">
        <v>176</v>
      </c>
      <c r="AD18" s="410">
        <f>AD17/AD20*100-100</f>
        <v>5.156525121383581</v>
      </c>
      <c r="AE18" s="410">
        <f>AE17/AE20*100-100</f>
        <v>5.021683279806581</v>
      </c>
      <c r="AF18" s="370">
        <f>AF17/AF20*100-100</f>
        <v>5.228294536192649</v>
      </c>
    </row>
    <row r="19" spans="9:21" ht="13.5">
      <c r="I19" s="395"/>
      <c r="J19" s="382">
        <v>11</v>
      </c>
      <c r="K19" s="383">
        <f t="shared" si="3"/>
        <v>6323757</v>
      </c>
      <c r="L19" s="384">
        <v>2605776</v>
      </c>
      <c r="M19" s="385">
        <v>3717981</v>
      </c>
      <c r="N19" s="386"/>
      <c r="O19" s="383">
        <f t="shared" si="4"/>
        <v>9515784</v>
      </c>
      <c r="P19" s="384">
        <v>3836097</v>
      </c>
      <c r="Q19" s="385">
        <v>5679687</v>
      </c>
      <c r="R19" s="387"/>
      <c r="S19" s="392">
        <f t="shared" si="5"/>
        <v>66.45544917791324</v>
      </c>
      <c r="T19" s="393">
        <f t="shared" si="5"/>
        <v>67.92779223257389</v>
      </c>
      <c r="U19" s="394">
        <f t="shared" si="5"/>
        <v>65.46101924278574</v>
      </c>
    </row>
    <row r="20" spans="9:32" ht="13.5">
      <c r="I20" s="395"/>
      <c r="J20" s="382">
        <v>12</v>
      </c>
      <c r="K20" s="383">
        <f t="shared" si="3"/>
        <v>5278100</v>
      </c>
      <c r="L20" s="384">
        <v>2358272</v>
      </c>
      <c r="M20" s="385">
        <v>2919828</v>
      </c>
      <c r="N20" s="386"/>
      <c r="O20" s="383">
        <f t="shared" si="4"/>
        <v>9834958</v>
      </c>
      <c r="P20" s="384">
        <v>4041126</v>
      </c>
      <c r="Q20" s="385">
        <v>5793832</v>
      </c>
      <c r="R20" s="387"/>
      <c r="S20" s="392">
        <f t="shared" si="5"/>
        <v>53.66672638561344</v>
      </c>
      <c r="T20" s="393">
        <f t="shared" si="5"/>
        <v>58.35680451438535</v>
      </c>
      <c r="U20" s="394">
        <f t="shared" si="5"/>
        <v>50.3954550287271</v>
      </c>
      <c r="X20" s="411" t="s">
        <v>173</v>
      </c>
      <c r="Y20" s="412">
        <v>82128039</v>
      </c>
      <c r="Z20" s="412">
        <v>28491783</v>
      </c>
      <c r="AA20" s="412">
        <v>53636256</v>
      </c>
      <c r="AC20" s="411" t="s">
        <v>177</v>
      </c>
      <c r="AD20" s="412">
        <f>AE20+AF20</f>
        <v>78100754</v>
      </c>
      <c r="AE20" s="412">
        <v>27129429</v>
      </c>
      <c r="AF20" s="412">
        <v>50971325</v>
      </c>
    </row>
    <row r="21" spans="9:21" ht="13.5">
      <c r="I21" s="395"/>
      <c r="J21" s="382">
        <v>1</v>
      </c>
      <c r="K21" s="383">
        <f t="shared" si="3"/>
        <v>5431065</v>
      </c>
      <c r="L21" s="384">
        <v>2468949</v>
      </c>
      <c r="M21" s="385">
        <v>2962116</v>
      </c>
      <c r="N21" s="386"/>
      <c r="O21" s="383">
        <f t="shared" si="4"/>
        <v>9610262</v>
      </c>
      <c r="P21" s="384">
        <v>4008847</v>
      </c>
      <c r="Q21" s="385">
        <v>5601415</v>
      </c>
      <c r="R21" s="387"/>
      <c r="S21" s="392">
        <f t="shared" si="5"/>
        <v>56.513183511542145</v>
      </c>
      <c r="T21" s="393">
        <f t="shared" si="5"/>
        <v>61.5875088273511</v>
      </c>
      <c r="U21" s="394">
        <f t="shared" si="5"/>
        <v>52.88156653274218</v>
      </c>
    </row>
    <row r="22" spans="9:21" ht="13.5">
      <c r="I22" s="395"/>
      <c r="J22" s="382">
        <v>2</v>
      </c>
      <c r="K22" s="383">
        <f t="shared" si="3"/>
        <v>5530741</v>
      </c>
      <c r="L22" s="384">
        <v>2468788</v>
      </c>
      <c r="M22" s="385">
        <v>3061953</v>
      </c>
      <c r="N22" s="386"/>
      <c r="O22" s="383">
        <f t="shared" si="4"/>
        <v>8928028</v>
      </c>
      <c r="P22" s="384">
        <v>3684630</v>
      </c>
      <c r="Q22" s="385">
        <v>5243398</v>
      </c>
      <c r="R22" s="387"/>
      <c r="S22" s="392">
        <f t="shared" si="5"/>
        <v>61.948069607308575</v>
      </c>
      <c r="T22" s="393">
        <f t="shared" si="5"/>
        <v>67.00233130599274</v>
      </c>
      <c r="U22" s="394">
        <f t="shared" si="5"/>
        <v>58.396349085078036</v>
      </c>
    </row>
    <row r="23" spans="9:21" ht="14.25" thickBot="1">
      <c r="I23" s="396"/>
      <c r="J23" s="397">
        <v>3</v>
      </c>
      <c r="K23" s="398">
        <f t="shared" si="3"/>
        <v>6671638</v>
      </c>
      <c r="L23" s="399">
        <v>2892608</v>
      </c>
      <c r="M23" s="400">
        <v>3779030</v>
      </c>
      <c r="N23" s="401"/>
      <c r="O23" s="398">
        <f t="shared" si="4"/>
        <v>9944924</v>
      </c>
      <c r="P23" s="399">
        <v>4066950</v>
      </c>
      <c r="Q23" s="400">
        <v>5877974</v>
      </c>
      <c r="R23" s="402"/>
      <c r="S23" s="403">
        <f t="shared" si="5"/>
        <v>67.0858620940693</v>
      </c>
      <c r="T23" s="404">
        <f t="shared" si="5"/>
        <v>71.12474950515742</v>
      </c>
      <c r="U23" s="405">
        <f t="shared" si="5"/>
        <v>64.29136978149273</v>
      </c>
    </row>
  </sheetData>
  <printOptions/>
  <pageMargins left="0.75" right="0.75" top="1" bottom="1" header="0.512" footer="0.512"/>
  <pageSetup horizontalDpi="400" verticalDpi="400" orientation="landscape" paperSize="9" r:id="rId2"/>
  <headerFooter alignWithMargins="0">
    <oddHeader>&amp;C&amp;A</oddHeader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E1">
      <selection activeCell="P16" sqref="P16"/>
    </sheetView>
  </sheetViews>
  <sheetFormatPr defaultColWidth="9.00390625" defaultRowHeight="13.5"/>
  <cols>
    <col min="2" max="2" width="2.625" style="0" customWidth="1"/>
    <col min="3" max="3" width="8.50390625" style="0" customWidth="1"/>
    <col min="4" max="4" width="10.125" style="0" customWidth="1"/>
    <col min="5" max="5" width="6.625" style="0" customWidth="1"/>
    <col min="8" max="8" width="10.75390625" style="50" customWidth="1"/>
    <col min="15" max="16" width="12.625" style="0" customWidth="1"/>
  </cols>
  <sheetData>
    <row r="1" spans="1:14" ht="14.25" thickBot="1">
      <c r="A1" s="152"/>
      <c r="B1" s="152"/>
      <c r="C1" s="152"/>
      <c r="D1" s="152"/>
      <c r="E1" s="152"/>
      <c r="F1" s="152"/>
      <c r="G1" s="152"/>
      <c r="H1" s="165"/>
      <c r="I1" s="152"/>
      <c r="J1" s="152"/>
      <c r="N1" t="s">
        <v>178</v>
      </c>
    </row>
    <row r="2" spans="1:17" ht="14.25" thickBot="1">
      <c r="A2" s="152"/>
      <c r="B2" s="152"/>
      <c r="C2" s="152"/>
      <c r="D2" s="152"/>
      <c r="E2" s="152"/>
      <c r="F2" s="152"/>
      <c r="G2" s="152"/>
      <c r="H2" s="167" t="s">
        <v>178</v>
      </c>
      <c r="I2" s="168" t="s">
        <v>109</v>
      </c>
      <c r="J2" s="152"/>
      <c r="M2" s="152"/>
      <c r="N2" s="152"/>
      <c r="O2" s="152"/>
      <c r="P2" s="152"/>
      <c r="Q2" s="152"/>
    </row>
    <row r="3" spans="1:17" ht="14.25" thickBot="1">
      <c r="A3" s="152"/>
      <c r="B3" s="29"/>
      <c r="C3" s="31" t="s">
        <v>86</v>
      </c>
      <c r="D3" s="31" t="s">
        <v>87</v>
      </c>
      <c r="E3" s="30" t="s">
        <v>163</v>
      </c>
      <c r="F3" s="152"/>
      <c r="G3" s="152"/>
      <c r="H3" s="481">
        <v>107077958</v>
      </c>
      <c r="I3" s="482"/>
      <c r="J3" s="152"/>
      <c r="M3" s="152"/>
      <c r="N3" s="169"/>
      <c r="O3" s="476" t="s">
        <v>183</v>
      </c>
      <c r="P3" s="477" t="s">
        <v>184</v>
      </c>
      <c r="Q3" s="152"/>
    </row>
    <row r="4" spans="1:17" ht="13.5">
      <c r="A4" s="152"/>
      <c r="B4" s="429">
        <v>8</v>
      </c>
      <c r="C4" s="474">
        <v>5.2</v>
      </c>
      <c r="D4" s="474">
        <v>6.2</v>
      </c>
      <c r="E4" s="484">
        <f>I4</f>
        <v>3.574957042045952</v>
      </c>
      <c r="F4" s="152"/>
      <c r="G4" s="152"/>
      <c r="H4" s="481">
        <v>110905949</v>
      </c>
      <c r="I4" s="482">
        <f>H4/H3*100-100</f>
        <v>3.574957042045952</v>
      </c>
      <c r="J4" s="152"/>
      <c r="M4" s="152"/>
      <c r="N4" s="478" t="s">
        <v>50</v>
      </c>
      <c r="O4" s="428">
        <v>9968171.531</v>
      </c>
      <c r="P4" s="427">
        <v>9889283.724</v>
      </c>
      <c r="Q4" s="152"/>
    </row>
    <row r="5" spans="1:17" ht="13.5">
      <c r="A5" s="152"/>
      <c r="B5" s="429">
        <v>9</v>
      </c>
      <c r="C5" s="474">
        <v>4.2</v>
      </c>
      <c r="D5" s="474">
        <v>6.1</v>
      </c>
      <c r="E5" s="484">
        <f>I5</f>
        <v>4.567499801115261</v>
      </c>
      <c r="F5" s="152"/>
      <c r="G5" s="152"/>
      <c r="H5" s="481">
        <v>115971578</v>
      </c>
      <c r="I5" s="482">
        <f>H5/H4*100-100</f>
        <v>4.567499801115261</v>
      </c>
      <c r="J5" s="152"/>
      <c r="M5" s="152"/>
      <c r="N5" s="478" t="s">
        <v>51</v>
      </c>
      <c r="O5" s="428">
        <v>10415955.671</v>
      </c>
      <c r="P5" s="427">
        <v>10343983.754</v>
      </c>
      <c r="Q5" s="152"/>
    </row>
    <row r="6" spans="1:17" ht="13.5">
      <c r="A6" s="152"/>
      <c r="B6" s="429">
        <v>10</v>
      </c>
      <c r="C6" s="475">
        <v>2.7520661479662607</v>
      </c>
      <c r="D6" s="475">
        <v>3.7471149713222474</v>
      </c>
      <c r="E6" s="484">
        <f>I6</f>
        <v>5.9108351082366255</v>
      </c>
      <c r="F6" s="152"/>
      <c r="G6" s="152"/>
      <c r="H6" s="481">
        <v>122826466.74800001</v>
      </c>
      <c r="I6" s="482">
        <f>H6/H5*100-100</f>
        <v>5.9108351082366255</v>
      </c>
      <c r="J6" s="152"/>
      <c r="M6" s="152"/>
      <c r="N6" s="478" t="s">
        <v>52</v>
      </c>
      <c r="O6" s="428">
        <v>10150797.873</v>
      </c>
      <c r="P6" s="427">
        <v>10063848.131</v>
      </c>
      <c r="Q6" s="152"/>
    </row>
    <row r="7" spans="1:17" ht="13.5">
      <c r="A7" s="152"/>
      <c r="B7" s="429">
        <v>11</v>
      </c>
      <c r="C7" s="475">
        <f>'2-1-2 輸送機関別国内旅客輸送量'!E25-100</f>
        <v>4.1837515156383205</v>
      </c>
      <c r="D7" s="475">
        <f>'2-1-2 輸送機関別国内旅客輸送量'!I25-100</f>
        <v>4.41860841555129</v>
      </c>
      <c r="E7" s="484">
        <f>I7</f>
        <v>1.1101217849060987</v>
      </c>
      <c r="F7" s="152"/>
      <c r="G7" s="152"/>
      <c r="H7" s="481">
        <f>O16</f>
        <v>124189990.113</v>
      </c>
      <c r="I7" s="482">
        <f>H7/H6*100-100</f>
        <v>1.1101217849060987</v>
      </c>
      <c r="J7" s="152"/>
      <c r="M7" s="152"/>
      <c r="N7" s="478" t="s">
        <v>53</v>
      </c>
      <c r="O7" s="428">
        <v>10925695.892</v>
      </c>
      <c r="P7" s="427">
        <v>11065772.871</v>
      </c>
      <c r="Q7" s="152"/>
    </row>
    <row r="8" spans="1:17" ht="14.25" thickBot="1">
      <c r="A8" s="152"/>
      <c r="B8" s="491">
        <v>12</v>
      </c>
      <c r="C8" s="492">
        <f>'2-1-2 輸送機関別国内旅客輸送量'!F25-100</f>
        <v>1.4015936287865571</v>
      </c>
      <c r="D8" s="492">
        <f>'2-1-2 輸送機関別国内旅客輸送量'!J25-100</f>
        <v>0.4408511312977481</v>
      </c>
      <c r="E8" s="493">
        <f>I8</f>
        <v>1.5150803380272038</v>
      </c>
      <c r="F8" s="152"/>
      <c r="G8" s="152"/>
      <c r="H8" s="489">
        <f>P16</f>
        <v>126071568.235</v>
      </c>
      <c r="I8" s="490">
        <f>H8/H7*100-100</f>
        <v>1.5150803380272038</v>
      </c>
      <c r="J8" s="152"/>
      <c r="M8" s="152"/>
      <c r="N8" s="478" t="s">
        <v>54</v>
      </c>
      <c r="O8" s="428">
        <v>11348039.367</v>
      </c>
      <c r="P8" s="427">
        <v>11531208.464</v>
      </c>
      <c r="Q8" s="152"/>
    </row>
    <row r="9" spans="1:17" ht="13.5">
      <c r="A9" s="152"/>
      <c r="B9" s="152"/>
      <c r="C9" s="152"/>
      <c r="D9" s="152"/>
      <c r="E9" s="152"/>
      <c r="F9" s="152"/>
      <c r="G9" s="152"/>
      <c r="H9" s="152"/>
      <c r="I9" s="152"/>
      <c r="J9" s="152"/>
      <c r="M9" s="152"/>
      <c r="N9" s="478" t="s">
        <v>55</v>
      </c>
      <c r="O9" s="428">
        <v>10155981.288</v>
      </c>
      <c r="P9" s="427">
        <v>10496081.521</v>
      </c>
      <c r="Q9" s="152"/>
    </row>
    <row r="10" spans="13:17" ht="13.5">
      <c r="M10" s="152"/>
      <c r="N10" s="478" t="s">
        <v>56</v>
      </c>
      <c r="O10" s="428">
        <v>10537166.751</v>
      </c>
      <c r="P10" s="427">
        <v>10857962.959</v>
      </c>
      <c r="Q10" s="152"/>
    </row>
    <row r="11" spans="13:17" ht="13.5">
      <c r="M11" s="152"/>
      <c r="N11" s="478" t="s">
        <v>57</v>
      </c>
      <c r="O11" s="428">
        <v>9942524.589</v>
      </c>
      <c r="P11" s="427">
        <v>10315481.573</v>
      </c>
      <c r="Q11" s="152"/>
    </row>
    <row r="12" spans="13:17" ht="13.5">
      <c r="M12" s="152"/>
      <c r="N12" s="478" t="s">
        <v>58</v>
      </c>
      <c r="O12" s="428">
        <v>10177518.901</v>
      </c>
      <c r="P12" s="427">
        <v>10577237.628</v>
      </c>
      <c r="Q12" s="152"/>
    </row>
    <row r="13" spans="13:17" ht="13.5">
      <c r="M13" s="152"/>
      <c r="N13" s="478" t="s">
        <v>59</v>
      </c>
      <c r="O13" s="428">
        <v>10269505.61</v>
      </c>
      <c r="P13" s="427">
        <v>10416259.983</v>
      </c>
      <c r="Q13" s="152"/>
    </row>
    <row r="14" spans="13:17" ht="13.5">
      <c r="M14" s="152"/>
      <c r="N14" s="478" t="s">
        <v>60</v>
      </c>
      <c r="O14" s="428">
        <v>9749508.968</v>
      </c>
      <c r="P14" s="427">
        <v>9639169.458</v>
      </c>
      <c r="Q14" s="152"/>
    </row>
    <row r="15" spans="13:17" ht="13.5">
      <c r="M15" s="152"/>
      <c r="N15" s="478" t="s">
        <v>61</v>
      </c>
      <c r="O15" s="428">
        <v>10549123.672</v>
      </c>
      <c r="P15" s="427">
        <v>10875278.169</v>
      </c>
      <c r="Q15" s="152"/>
    </row>
    <row r="16" spans="13:17" ht="14.25" thickBot="1">
      <c r="M16" s="152"/>
      <c r="N16" s="479" t="s">
        <v>171</v>
      </c>
      <c r="O16" s="483">
        <f>SUM(O4:O15)</f>
        <v>124189990.113</v>
      </c>
      <c r="P16" s="480">
        <f>SUM(P4:P15)</f>
        <v>126071568.235</v>
      </c>
      <c r="Q16" s="152"/>
    </row>
    <row r="17" spans="13:17" ht="13.5">
      <c r="M17" s="152"/>
      <c r="N17" s="152"/>
      <c r="O17" s="152"/>
      <c r="P17" s="152"/>
      <c r="Q17" s="152"/>
    </row>
  </sheetData>
  <printOptions/>
  <pageMargins left="0.75" right="0.75" top="1" bottom="1" header="0.512" footer="0.512"/>
  <pageSetup horizontalDpi="400" verticalDpi="400" orientation="landscape" paperSize="9" scale="110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2004-09-01T06:40:51Z</dcterms:modified>
  <cp:category/>
  <cp:version/>
  <cp:contentType/>
  <cp:contentStatus/>
</cp:coreProperties>
</file>