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da_naoya\Desktop\"/>
    </mc:Choice>
  </mc:AlternateContent>
  <bookViews>
    <workbookView xWindow="0" yWindow="0" windowWidth="20490" windowHeight="7530"/>
  </bookViews>
  <sheets>
    <sheet name="革新技術（水熱＋消化）試算シート  (脱水設備維持費含む)" sheetId="9" r:id="rId1"/>
  </sheets>
  <definedNames>
    <definedName name="_xlnm.Print_Area" localSheetId="0">'革新技術（水熱＋消化）試算シート  (脱水設備維持費含む)'!$A$1:$M$185</definedName>
  </definedNames>
  <calcPr calcId="162913"/>
</workbook>
</file>

<file path=xl/calcChain.xml><?xml version="1.0" encoding="utf-8"?>
<calcChain xmlns="http://schemas.openxmlformats.org/spreadsheetml/2006/main">
  <c r="H155" i="9" l="1"/>
  <c r="L172" i="9" l="1"/>
  <c r="L158" i="9" l="1"/>
  <c r="L155" i="9"/>
  <c r="L118" i="9"/>
  <c r="L96" i="9"/>
  <c r="L94" i="9"/>
  <c r="L92" i="9"/>
  <c r="L90" i="9"/>
  <c r="L88" i="9"/>
  <c r="L87" i="9"/>
  <c r="L86" i="9"/>
  <c r="L83" i="9"/>
  <c r="L82" i="9"/>
  <c r="L80" i="9"/>
  <c r="L79" i="9"/>
  <c r="L76" i="9"/>
  <c r="L75" i="9"/>
  <c r="N22" i="9"/>
  <c r="N21" i="9"/>
  <c r="K13" i="9"/>
  <c r="J13" i="9"/>
  <c r="K12" i="9"/>
  <c r="J12" i="9"/>
  <c r="D9" i="9"/>
  <c r="H120" i="9" s="1"/>
  <c r="D8" i="9"/>
  <c r="H68" i="9" s="1"/>
  <c r="H67" i="9" l="1"/>
  <c r="H161" i="9"/>
  <c r="H170" i="9"/>
  <c r="H172" i="9"/>
  <c r="H173" i="9" s="1"/>
  <c r="H124" i="9"/>
  <c r="H85" i="9"/>
  <c r="H86" i="9" s="1"/>
  <c r="H144" i="9"/>
  <c r="H119" i="9"/>
  <c r="H81" i="9"/>
  <c r="H83" i="9" s="1"/>
  <c r="H131" i="9"/>
  <c r="H32" i="9"/>
  <c r="H36" i="9" s="1"/>
  <c r="H37" i="9" s="1"/>
  <c r="H89" i="9"/>
  <c r="H90" i="9" s="1"/>
  <c r="H62" i="9"/>
  <c r="H91" i="9"/>
  <c r="H92" i="9" s="1"/>
  <c r="H73" i="9"/>
  <c r="H167" i="9" s="1"/>
  <c r="G18" i="9"/>
  <c r="H143" i="9"/>
  <c r="H69" i="9"/>
  <c r="G19" i="9"/>
  <c r="H157" i="9" s="1"/>
  <c r="H87" i="9"/>
  <c r="H88" i="9" s="1"/>
  <c r="H137" i="9"/>
  <c r="H95" i="9"/>
  <c r="H127" i="9"/>
  <c r="H93" i="9"/>
  <c r="H94" i="9" s="1"/>
  <c r="H38" i="9" l="1"/>
  <c r="H39" i="9" s="1"/>
  <c r="H96" i="9"/>
  <c r="H171" i="9"/>
  <c r="H121" i="9"/>
  <c r="H165" i="9" s="1"/>
  <c r="H163" i="9"/>
  <c r="H162" i="9"/>
  <c r="H164" i="9" s="1"/>
  <c r="H160" i="9"/>
  <c r="H154" i="9"/>
  <c r="H118" i="9"/>
  <c r="H125" i="9" s="1"/>
  <c r="F113" i="9"/>
  <c r="H34" i="9"/>
  <c r="H71" i="9"/>
  <c r="H104" i="9" s="1"/>
  <c r="H33" i="9"/>
  <c r="H133" i="9" s="1"/>
  <c r="H138" i="9" s="1"/>
  <c r="H97" i="9"/>
  <c r="H70" i="9"/>
  <c r="F111" i="9" s="1"/>
  <c r="H54" i="9"/>
  <c r="H52" i="9"/>
  <c r="H53" i="9"/>
  <c r="H75" i="9"/>
  <c r="H126" i="9"/>
  <c r="H159" i="9"/>
  <c r="H123" i="9"/>
  <c r="H40" i="9" l="1"/>
  <c r="H101" i="9" s="1"/>
  <c r="H35" i="9"/>
  <c r="H122" i="9"/>
  <c r="H166" i="9"/>
  <c r="H60" i="9"/>
  <c r="H58" i="9"/>
  <c r="H56" i="9"/>
  <c r="H55" i="9"/>
  <c r="H42" i="9" l="1"/>
  <c r="H44" i="9" s="1"/>
  <c r="H45" i="9" s="1"/>
  <c r="H177" i="9"/>
  <c r="H41" i="9"/>
  <c r="H176" i="9"/>
  <c r="H65" i="9"/>
  <c r="H47" i="9" l="1"/>
  <c r="H48" i="9" s="1"/>
  <c r="H145" i="9" s="1"/>
  <c r="H43" i="9"/>
  <c r="H128" i="9" s="1"/>
  <c r="H132" i="9" s="1"/>
  <c r="H139" i="9" s="1"/>
  <c r="H77" i="9" s="1"/>
  <c r="H142" i="9"/>
  <c r="H175" i="9"/>
  <c r="H98" i="9"/>
  <c r="H141" i="9" l="1"/>
  <c r="H149" i="9"/>
  <c r="H174" i="9" s="1"/>
  <c r="H146" i="9"/>
  <c r="H178" i="9"/>
  <c r="H179" i="9"/>
  <c r="H79" i="9"/>
  <c r="H103" i="9" s="1"/>
  <c r="H168" i="9"/>
  <c r="H180" i="9" l="1"/>
  <c r="H147" i="9"/>
  <c r="H148" i="9" s="1"/>
  <c r="H150" i="9" s="1"/>
  <c r="H181" i="9"/>
  <c r="H105" i="9"/>
  <c r="F112" i="9"/>
  <c r="F114" i="9" s="1"/>
  <c r="H182" i="9" l="1"/>
  <c r="H183" i="9" s="1"/>
  <c r="H106" i="9"/>
  <c r="H107" i="9" s="1"/>
</calcChain>
</file>

<file path=xl/comments1.xml><?xml version="1.0" encoding="utf-8"?>
<comments xmlns="http://schemas.openxmlformats.org/spreadsheetml/2006/main">
  <authors>
    <author>高城 一男</author>
  </authors>
  <commentList>
    <comment ref="L5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表資料2-3 資料P.58
</t>
        </r>
      </text>
    </comment>
    <comment ref="L7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表資料2-3 資料P.58
</t>
        </r>
      </text>
    </comment>
  </commentList>
</comments>
</file>

<file path=xl/sharedStrings.xml><?xml version="1.0" encoding="utf-8"?>
<sst xmlns="http://schemas.openxmlformats.org/spreadsheetml/2006/main" count="566" uniqueCount="381">
  <si>
    <t>建設費</t>
    <rPh sb="0" eb="3">
      <t>ケンセツヒ</t>
    </rPh>
    <phoneticPr fontId="1"/>
  </si>
  <si>
    <t>従来技術</t>
    <rPh sb="0" eb="2">
      <t>ジュウライ</t>
    </rPh>
    <rPh sb="2" eb="4">
      <t>ギジュツ</t>
    </rPh>
    <phoneticPr fontId="1"/>
  </si>
  <si>
    <t>機械建設費</t>
    <rPh sb="0" eb="2">
      <t>キカイ</t>
    </rPh>
    <rPh sb="2" eb="5">
      <t>ケンセツヒ</t>
    </rPh>
    <phoneticPr fontId="1"/>
  </si>
  <si>
    <t>電気建設費</t>
    <rPh sb="0" eb="2">
      <t>デンキ</t>
    </rPh>
    <rPh sb="2" eb="5">
      <t>ケンセツヒ</t>
    </rPh>
    <phoneticPr fontId="1"/>
  </si>
  <si>
    <t>維持管理費</t>
    <rPh sb="0" eb="2">
      <t>イジ</t>
    </rPh>
    <rPh sb="2" eb="5">
      <t>カンリヒ</t>
    </rPh>
    <phoneticPr fontId="1"/>
  </si>
  <si>
    <t>合計</t>
    <rPh sb="0" eb="2">
      <t>ゴウケイ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</si>
  <si>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</si>
  <si>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</si>
  <si>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土木設備</t>
    <rPh sb="0" eb="2">
      <t>ドボク</t>
    </rPh>
    <rPh sb="2" eb="4">
      <t>セツビ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</si>
  <si>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</si>
  <si>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</si>
  <si>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</si>
  <si>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</si>
  <si>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焼却設備</t>
    <rPh sb="0" eb="2">
      <t>ショウキャク</t>
    </rPh>
    <rPh sb="2" eb="4">
      <t>セツビ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</si>
  <si>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</si>
  <si>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</si>
  <si>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</si>
  <si>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</si>
  <si>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</si>
  <si>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導入効果</t>
    <rPh sb="0" eb="2">
      <t>ドウニュウ</t>
    </rPh>
    <rPh sb="2" eb="4">
      <t>コウカ</t>
    </rPh>
    <phoneticPr fontId="1"/>
  </si>
  <si>
    <t>革新的技術の維持管理費</t>
    <rPh sb="0" eb="2">
      <t>カクシン</t>
    </rPh>
    <rPh sb="2" eb="3">
      <t>テキ</t>
    </rPh>
    <rPh sb="3" eb="5">
      <t>ギジュツ</t>
    </rPh>
    <rPh sb="6" eb="8">
      <t>イジ</t>
    </rPh>
    <rPh sb="8" eb="11">
      <t>カンリヒ</t>
    </rPh>
    <phoneticPr fontId="1"/>
  </si>
  <si>
    <t>百万円</t>
    <rPh sb="0" eb="1">
      <t>ヒャク</t>
    </rPh>
    <rPh sb="1" eb="3">
      <t>マンエン</t>
    </rPh>
    <phoneticPr fontId="1"/>
  </si>
  <si>
    <t>百万円/年</t>
    <rPh sb="0" eb="1">
      <t>ヒャク</t>
    </rPh>
    <rPh sb="1" eb="3">
      <t>マンエン</t>
    </rPh>
    <rPh sb="4" eb="5">
      <t>ネン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</si>
  <si>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</si>
  <si>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</si>
  <si>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</si>
  <si>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エネルギー削減効果</t>
    <rPh sb="5" eb="7">
      <t>サクゲン</t>
    </rPh>
    <rPh sb="7" eb="9">
      <t>コウカ</t>
    </rPh>
    <phoneticPr fontId="1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</si>
  <si>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</si>
  <si>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温室効果ガス削減効果</t>
    <rPh sb="0" eb="2">
      <t>オンシツ</t>
    </rPh>
    <rPh sb="2" eb="4">
      <t>コウカ</t>
    </rPh>
    <rPh sb="6" eb="8">
      <t>サクゲン</t>
    </rPh>
    <rPh sb="8" eb="10">
      <t>コウカ</t>
    </rPh>
    <phoneticPr fontId="1"/>
  </si>
  <si>
    <t>GHG排出量</t>
    <rPh sb="3" eb="6">
      <t>ハイシュツリョウ</t>
    </rPh>
    <phoneticPr fontId="1"/>
  </si>
  <si>
    <t>消費電力由来GHG排出量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</si>
  <si>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</si>
  <si>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</si>
  <si>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</si>
  <si>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</si>
  <si>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備考</t>
    <phoneticPr fontId="1"/>
  </si>
  <si>
    <t>費用関数</t>
    <phoneticPr fontId="1"/>
  </si>
  <si>
    <t>①</t>
    <phoneticPr fontId="1"/>
  </si>
  <si>
    <t>⑤</t>
    <phoneticPr fontId="1"/>
  </si>
  <si>
    <t>③</t>
    <phoneticPr fontId="1"/>
  </si>
  <si>
    <r>
      <t>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6" eb="7">
      <t>ネン</t>
    </rPh>
    <phoneticPr fontId="1"/>
  </si>
  <si>
    <t>電力</t>
    <rPh sb="0" eb="2">
      <t>デンリョク</t>
    </rPh>
    <phoneticPr fontId="1"/>
  </si>
  <si>
    <t>②</t>
    <phoneticPr fontId="1"/>
  </si>
  <si>
    <t>④：①＋②＋③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</si>
  <si>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</si>
  <si>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</si>
  <si>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</si>
  <si>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</si>
  <si>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</si>
  <si>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㉑</t>
    <phoneticPr fontId="1"/>
  </si>
  <si>
    <t>％</t>
    <phoneticPr fontId="1"/>
  </si>
  <si>
    <t>(1-b/a)×100</t>
    <phoneticPr fontId="1"/>
  </si>
  <si>
    <t>総費用（年価換算値）削減効果</t>
    <rPh sb="0" eb="3">
      <t>ソウヒヨウ</t>
    </rPh>
    <rPh sb="4" eb="6">
      <t>ネンカ</t>
    </rPh>
    <rPh sb="6" eb="8">
      <t>カンサン</t>
    </rPh>
    <rPh sb="8" eb="9">
      <t>チ</t>
    </rPh>
    <rPh sb="10" eb="12">
      <t>サクゲン</t>
    </rPh>
    <rPh sb="12" eb="14">
      <t>コウカ</t>
    </rPh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</si>
  <si>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</si>
  <si>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補助燃料由来GHG排出量</t>
    <rPh sb="0" eb="2">
      <t>ホジョ</t>
    </rPh>
    <rPh sb="2" eb="4">
      <t>ネンリョウ</t>
    </rPh>
    <rPh sb="4" eb="6">
      <t>ユライ</t>
    </rPh>
    <rPh sb="9" eb="11">
      <t>ハイシュツ</t>
    </rPh>
    <rPh sb="11" eb="12">
      <t>リョウ</t>
    </rPh>
    <phoneticPr fontId="1"/>
  </si>
  <si>
    <t>灯油</t>
    <rPh sb="0" eb="2">
      <t>トウユ</t>
    </rPh>
    <phoneticPr fontId="1"/>
  </si>
  <si>
    <t>MJ/L</t>
    <phoneticPr fontId="1"/>
  </si>
  <si>
    <t>⑦</t>
    <phoneticPr fontId="1"/>
  </si>
  <si>
    <t>⑥</t>
    <phoneticPr fontId="1"/>
  </si>
  <si>
    <r>
      <t>Y=1.888Xd</t>
    </r>
    <r>
      <rPr>
        <vertAlign val="superscript"/>
        <sz val="11"/>
        <color theme="1"/>
        <rFont val="游ゴシック"/>
        <family val="3"/>
        <charset val="128"/>
        <scheme val="minor"/>
      </rPr>
      <t>0.597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</si>
  <si>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Y=0.726Xd</t>
    </r>
    <r>
      <rPr>
        <vertAlign val="superscript"/>
        <sz val="11"/>
        <color theme="1"/>
        <rFont val="游ゴシック"/>
        <family val="3"/>
        <charset val="128"/>
        <scheme val="minor"/>
      </rPr>
      <t>0.539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</si>
  <si>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=0.287Xy</t>
    </r>
    <r>
      <rPr>
        <vertAlign val="superscript"/>
        <sz val="11"/>
        <color theme="1"/>
        <rFont val="游ゴシック"/>
        <family val="3"/>
        <charset val="128"/>
        <scheme val="minor"/>
      </rPr>
      <t>0.673</t>
    </r>
    <phoneticPr fontId="1"/>
  </si>
  <si>
    <t>機械設備</t>
    <rPh sb="0" eb="2">
      <t>キカイ</t>
    </rPh>
    <rPh sb="2" eb="4">
      <t>セツビ</t>
    </rPh>
    <phoneticPr fontId="1"/>
  </si>
  <si>
    <t>土木建築施設</t>
    <rPh sb="0" eb="2">
      <t>ドボク</t>
    </rPh>
    <rPh sb="2" eb="4">
      <t>ケンチク</t>
    </rPh>
    <rPh sb="4" eb="6">
      <t>シセツ</t>
    </rPh>
    <phoneticPr fontId="1"/>
  </si>
  <si>
    <t>補助燃料使用によるエネルギー消費量</t>
    <rPh sb="0" eb="2">
      <t>ホジョ</t>
    </rPh>
    <rPh sb="2" eb="4">
      <t>ネンリョウ</t>
    </rPh>
    <rPh sb="4" eb="6">
      <t>シヨウ</t>
    </rPh>
    <rPh sb="14" eb="17">
      <t>ショウヒリョウ</t>
    </rPh>
    <phoneticPr fontId="1"/>
  </si>
  <si>
    <t>→</t>
    <phoneticPr fontId="1"/>
  </si>
  <si>
    <t>⑤、i：利子率、n：耐用年数
※工種別に年価を算出し、合計する。</t>
    <rPh sb="4" eb="7">
      <t>リシリツ</t>
    </rPh>
    <rPh sb="10" eb="12">
      <t>タイヨウ</t>
    </rPh>
    <rPh sb="12" eb="14">
      <t>ネンスウ</t>
    </rPh>
    <rPh sb="23" eb="25">
      <t>サンシュツ</t>
    </rPh>
    <phoneticPr fontId="1"/>
  </si>
  <si>
    <t>A重油</t>
    <rPh sb="1" eb="3">
      <t>ジュウユ</t>
    </rPh>
    <phoneticPr fontId="1"/>
  </si>
  <si>
    <r>
      <t>Y=工種別建設費×i(1+i)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5">
      <t>コウシュベツ</t>
    </rPh>
    <rPh sb="5" eb="8">
      <t>ケンセツヒ</t>
    </rPh>
    <phoneticPr fontId="1"/>
  </si>
  <si>
    <t>①、Xd：設備規模(wet-t/日)</t>
    <rPh sb="5" eb="7">
      <t>セツビ</t>
    </rPh>
    <rPh sb="7" eb="9">
      <t>キボ</t>
    </rPh>
    <rPh sb="16" eb="17">
      <t>ヒ</t>
    </rPh>
    <phoneticPr fontId="1"/>
  </si>
  <si>
    <t xml:space="preserve">⑥、Xy：年間処理脱水汚泥量(wet-t/年) </t>
    <rPh sb="5" eb="7">
      <t>ネンカン</t>
    </rPh>
    <rPh sb="7" eb="9">
      <t>ショリ</t>
    </rPh>
    <rPh sb="9" eb="11">
      <t>ダッスイ</t>
    </rPh>
    <rPh sb="11" eb="14">
      <t>オデイリョウ</t>
    </rPh>
    <rPh sb="21" eb="22">
      <t>ネン</t>
    </rPh>
    <phoneticPr fontId="1"/>
  </si>
  <si>
    <r>
      <t>Y=工種別建設費×i(1-i)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</si>
  <si>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t>①、X：汚泥投入量(wet-t/日)</t>
    <rPh sb="4" eb="6">
      <t>オデイ</t>
    </rPh>
    <rPh sb="6" eb="9">
      <t>トウニュウリョウ</t>
    </rPh>
    <phoneticPr fontId="1"/>
  </si>
  <si>
    <t>X：汚泥投入量(wet-t/日)</t>
    <phoneticPr fontId="1"/>
  </si>
  <si>
    <r>
      <t>Y=0.000645(t-N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O/wet-t)X×稼働日数(日/年)</t>
    </r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</si>
  <si>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r>
      <t>Y=N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O排出量(t-N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O/年)×298(t-CO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/t-N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rPh sb="5" eb="8">
      <t>ハイシュツリョウ</t>
    </rPh>
    <rPh sb="15" eb="16">
      <t>ネン</t>
    </rPh>
    <phoneticPr fontId="1"/>
  </si>
  <si>
    <t>設備規模(wet-t/日)</t>
    <rPh sb="0" eb="2">
      <t>セツビ</t>
    </rPh>
    <rPh sb="2" eb="4">
      <t>キボ</t>
    </rPh>
    <phoneticPr fontId="1"/>
  </si>
  <si>
    <t>年間処理脱水汚泥量(wet-t/年)</t>
    <rPh sb="0" eb="2">
      <t>ネンカン</t>
    </rPh>
    <rPh sb="2" eb="4">
      <t>ショリ</t>
    </rPh>
    <rPh sb="4" eb="6">
      <t>ダッスイ</t>
    </rPh>
    <rPh sb="6" eb="9">
      <t>オデイリョウ</t>
    </rPh>
    <rPh sb="16" eb="17">
      <t>ネン</t>
    </rPh>
    <phoneticPr fontId="1"/>
  </si>
  <si>
    <t>低位発熱量(kJ/kg-DS)</t>
    <phoneticPr fontId="1"/>
  </si>
  <si>
    <r>
      <t>蒸発潜熱(kJ/kg-H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O)</t>
    </r>
    <phoneticPr fontId="1"/>
  </si>
  <si>
    <t>稼働日数(日/年)</t>
    <rPh sb="0" eb="2">
      <t>カドウ</t>
    </rPh>
    <rPh sb="2" eb="4">
      <t>ニッスウ</t>
    </rPh>
    <rPh sb="5" eb="6">
      <t>ヒ</t>
    </rPh>
    <rPh sb="7" eb="8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</si>
  <si>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</si>
  <si>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r>
      <t>上水単価(円/m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)</t>
    </r>
    <rPh sb="0" eb="2">
      <t>ジョウスイ</t>
    </rPh>
    <rPh sb="2" eb="4">
      <t>タンカ</t>
    </rPh>
    <rPh sb="5" eb="6">
      <t>エン</t>
    </rPh>
    <phoneticPr fontId="1"/>
  </si>
  <si>
    <t>エネルギー換算係数(自動入力)</t>
    <phoneticPr fontId="1"/>
  </si>
  <si>
    <t>維持管理費
(電力、燃料、薬品費、補修費、人件費)</t>
    <rPh sb="0" eb="2">
      <t>イジ</t>
    </rPh>
    <rPh sb="2" eb="5">
      <t>カンリヒ</t>
    </rPh>
    <rPh sb="7" eb="9">
      <t>デンリョク</t>
    </rPh>
    <rPh sb="10" eb="12">
      <t>ネンリョウ</t>
    </rPh>
    <rPh sb="13" eb="15">
      <t>ヤクヒン</t>
    </rPh>
    <rPh sb="15" eb="16">
      <t>ヒ</t>
    </rPh>
    <rPh sb="17" eb="20">
      <t>ホシュウヒ</t>
    </rPh>
    <rPh sb="21" eb="24">
      <t>ジンケンヒ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</si>
  <si>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</si>
  <si>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維持管理費(消費電力)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</si>
  <si>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維持管理費(点検・補修費)</t>
    <rPh sb="0" eb="2">
      <t>イジ</t>
    </rPh>
    <rPh sb="2" eb="5">
      <t>カンリヒ</t>
    </rPh>
    <rPh sb="6" eb="8">
      <t>テンケン</t>
    </rPh>
    <rPh sb="9" eb="11">
      <t>ホシュウ</t>
    </rPh>
    <rPh sb="11" eb="12">
      <t>ヒ</t>
    </rPh>
    <phoneticPr fontId="1"/>
  </si>
  <si>
    <t>稼働日数(日/年)</t>
    <rPh sb="0" eb="2">
      <t>カドウ</t>
    </rPh>
    <rPh sb="2" eb="4">
      <t>ニッスウ</t>
    </rPh>
    <phoneticPr fontId="1"/>
  </si>
  <si>
    <t>利子率(％)</t>
    <rPh sb="0" eb="2">
      <t>リシ</t>
    </rPh>
    <rPh sb="2" eb="3">
      <t>リツ</t>
    </rPh>
    <phoneticPr fontId="1"/>
  </si>
  <si>
    <t>単価(円/kWh)</t>
    <rPh sb="0" eb="2">
      <t>タンカ</t>
    </rPh>
    <rPh sb="3" eb="4">
      <t>エン</t>
    </rPh>
    <phoneticPr fontId="1"/>
  </si>
  <si>
    <t>換算係数
(kWh/MJ)</t>
    <rPh sb="0" eb="2">
      <t>カンサン</t>
    </rPh>
    <rPh sb="2" eb="4">
      <t>ケイスウ</t>
    </rPh>
    <phoneticPr fontId="1"/>
  </si>
  <si>
    <t>⑩：(1－⑨/④)×100</t>
    <phoneticPr fontId="1"/>
  </si>
  <si>
    <r>
      <t>t-CO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/年</t>
    </r>
    <rPh sb="6" eb="7">
      <t>ネン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</si>
  <si>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O由来GHG排出量</t>
    </r>
    <rPh sb="3" eb="5">
      <t>ユライ</t>
    </rPh>
    <rPh sb="8" eb="11">
      <t>ハイシュツリョウ</t>
    </rPh>
    <phoneticPr fontId="1"/>
  </si>
  <si>
    <r>
      <t>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O排出量　(t-N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O/年)</t>
    </r>
    <rPh sb="3" eb="6">
      <t>ハイシュツリョウ</t>
    </rPh>
    <rPh sb="14" eb="15">
      <t>ネン</t>
    </rPh>
    <phoneticPr fontId="1"/>
  </si>
  <si>
    <t>←計算参照セル修正しました。</t>
    <rPh sb="1" eb="3">
      <t>ケイサン</t>
    </rPh>
    <rPh sb="3" eb="5">
      <t>サンショウ</t>
    </rPh>
    <rPh sb="7" eb="9">
      <t>シュウセイ</t>
    </rPh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</si>
  <si>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/L</t>
    </r>
    <phoneticPr fontId="1"/>
  </si>
  <si>
    <r>
      <t>補助燃料種類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6">
      <t>シュルイ</t>
    </rPh>
    <phoneticPr fontId="1"/>
  </si>
  <si>
    <r>
      <t>補助燃料使用量(m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/h)</t>
    </r>
    <r>
      <rPr>
        <vertAlign val="superscript"/>
        <sz val="11"/>
        <rFont val="游ゴシック"/>
        <family val="3"/>
        <charset val="128"/>
        <scheme val="minor"/>
      </rPr>
      <t>※1</t>
    </r>
    <rPh sb="0" eb="2">
      <t>ホジョ</t>
    </rPh>
    <rPh sb="2" eb="4">
      <t>ネンリョウ</t>
    </rPh>
    <rPh sb="4" eb="7">
      <t>シヨウリョウ</t>
    </rPh>
    <phoneticPr fontId="1"/>
  </si>
  <si>
    <t>※1 補助燃料種類及び使用量は検討処理場の実績値とする。消化ガス(バイオマス系燃料)は試算対象外である。</t>
    <rPh sb="17" eb="20">
      <t>ショリジョウ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</si>
  <si>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L/h)×稼働日数(日/年)×24(h/日)×GHG排出量原単位(kg-CO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kg-CO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/L)×10</t>
    </r>
    <r>
      <rPr>
        <vertAlign val="superscript"/>
        <sz val="10"/>
        <rFont val="游ゴシック"/>
        <family val="3"/>
        <charset val="128"/>
        <scheme val="minor"/>
      </rPr>
      <t>-3</t>
    </r>
    <rPh sb="44" eb="46">
      <t>ハイシュツ</t>
    </rPh>
    <rPh sb="46" eb="47">
      <t>リョウ</t>
    </rPh>
    <phoneticPr fontId="1"/>
  </si>
  <si>
    <t>温室効果ガス(GHG)排出量原単位(自動入力)</t>
    <rPh sb="0" eb="2">
      <t>オンシツ</t>
    </rPh>
    <rPh sb="2" eb="4">
      <t>コウカ</t>
    </rPh>
    <rPh sb="11" eb="14">
      <t>ハイシュツリョウ</t>
    </rPh>
    <rPh sb="14" eb="17">
      <t>ゲンタンイ</t>
    </rPh>
    <rPh sb="18" eb="20">
      <t>ジドウ</t>
    </rPh>
    <rPh sb="20" eb="22">
      <t>ニュウリョク</t>
    </rPh>
    <phoneticPr fontId="1"/>
  </si>
  <si>
    <t>総費用（年価換算値）※革新的技術（脱水機は既設利用する場合）</t>
    <rPh sb="0" eb="3">
      <t>ソウヒヨウ</t>
    </rPh>
    <rPh sb="4" eb="6">
      <t>ネンカ</t>
    </rPh>
    <rPh sb="6" eb="9">
      <t>カンサンチ</t>
    </rPh>
    <rPh sb="11" eb="14">
      <t>カクシンテキ</t>
    </rPh>
    <rPh sb="14" eb="16">
      <t>ギジュツ</t>
    </rPh>
    <rPh sb="17" eb="20">
      <t>ダッスイキ</t>
    </rPh>
    <rPh sb="21" eb="23">
      <t>キセツ</t>
    </rPh>
    <rPh sb="23" eb="25">
      <t>リヨウ</t>
    </rPh>
    <rPh sb="27" eb="29">
      <t>バアイ</t>
    </rPh>
    <phoneticPr fontId="1"/>
  </si>
  <si>
    <t>土木建築建設費</t>
    <rPh sb="0" eb="2">
      <t>ドボク</t>
    </rPh>
    <rPh sb="2" eb="4">
      <t>ケンチク</t>
    </rPh>
    <rPh sb="4" eb="7">
      <t>ケンセツヒ</t>
    </rPh>
    <phoneticPr fontId="1"/>
  </si>
  <si>
    <t>流動焼却設備</t>
    <rPh sb="0" eb="2">
      <t>リュウドウ</t>
    </rPh>
    <rPh sb="2" eb="4">
      <t>ショウキャク</t>
    </rPh>
    <rPh sb="4" eb="6">
      <t>セツビ</t>
    </rPh>
    <phoneticPr fontId="1"/>
  </si>
  <si>
    <t>革新的技術/耐用年数(年)</t>
    <rPh sb="0" eb="2">
      <t>カクシン</t>
    </rPh>
    <rPh sb="2" eb="3">
      <t>テキ</t>
    </rPh>
    <rPh sb="3" eb="5">
      <t>ギジュツ</t>
    </rPh>
    <rPh sb="6" eb="8">
      <t>タイヨウ</t>
    </rPh>
    <rPh sb="8" eb="10">
      <t>ネンスウ</t>
    </rPh>
    <rPh sb="11" eb="12">
      <t>ネン</t>
    </rPh>
    <phoneticPr fontId="1"/>
  </si>
  <si>
    <t>従来技術/耐用年数(年)</t>
    <rPh sb="0" eb="2">
      <t>ジュウライ</t>
    </rPh>
    <rPh sb="2" eb="4">
      <t>ギジュツ</t>
    </rPh>
    <rPh sb="5" eb="7">
      <t>タイヨウ</t>
    </rPh>
    <rPh sb="7" eb="9">
      <t>ネンスウ</t>
    </rPh>
    <rPh sb="10" eb="11">
      <t>ネン</t>
    </rPh>
    <phoneticPr fontId="1"/>
  </si>
  <si>
    <r>
      <t>Y=1.361Xd</t>
    </r>
    <r>
      <rPr>
        <vertAlign val="superscript"/>
        <sz val="11"/>
        <color theme="1"/>
        <rFont val="游ゴシック"/>
        <family val="3"/>
        <charset val="128"/>
        <scheme val="minor"/>
      </rPr>
      <t>0.380</t>
    </r>
    <r>
      <rPr>
        <sz val="11"/>
        <color theme="1"/>
        <rFont val="游ゴシック"/>
        <family val="3"/>
        <charset val="128"/>
        <scheme val="minor"/>
      </rPr>
      <t>×100</t>
    </r>
    <phoneticPr fontId="1"/>
  </si>
  <si>
    <t>乾燥設備</t>
    <rPh sb="0" eb="2">
      <t>カンソウ</t>
    </rPh>
    <rPh sb="2" eb="4">
      <t>セツビ</t>
    </rPh>
    <phoneticPr fontId="1"/>
  </si>
  <si>
    <t>百万円/年</t>
    <rPh sb="0" eb="3">
      <t>ヒャクマンエン</t>
    </rPh>
    <rPh sb="4" eb="5">
      <t>ネン</t>
    </rPh>
    <phoneticPr fontId="1"/>
  </si>
  <si>
    <t>t/日</t>
    <rPh sb="2" eb="3">
      <t>ヒ</t>
    </rPh>
    <phoneticPr fontId="1"/>
  </si>
  <si>
    <t>脱水汚泥含水率(%)</t>
    <rPh sb="0" eb="2">
      <t>ダッスイ</t>
    </rPh>
    <rPh sb="2" eb="4">
      <t>オデイ</t>
    </rPh>
    <rPh sb="4" eb="7">
      <t>ガンスイリツ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</si>
  <si>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=95.1Qmd</t>
    </r>
    <r>
      <rPr>
        <vertAlign val="superscript"/>
        <sz val="11"/>
        <color theme="1"/>
        <rFont val="游ゴシック"/>
        <family val="3"/>
        <charset val="128"/>
        <scheme val="minor"/>
      </rPr>
      <t>0.507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</si>
  <si>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=353.1Qmd</t>
    </r>
    <r>
      <rPr>
        <vertAlign val="superscript"/>
        <sz val="11"/>
        <color theme="1"/>
        <rFont val="游ゴシック"/>
        <family val="3"/>
        <charset val="128"/>
        <scheme val="minor"/>
      </rPr>
      <t>0.591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</si>
  <si>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=108.3Qmd</t>
    </r>
    <r>
      <rPr>
        <vertAlign val="superscript"/>
        <sz val="11"/>
        <color theme="1"/>
        <rFont val="游ゴシック"/>
        <family val="3"/>
        <charset val="128"/>
        <scheme val="minor"/>
      </rPr>
      <t>0.244</t>
    </r>
    <phoneticPr fontId="1"/>
  </si>
  <si>
    <t>日最大処理汚泥DS量（DS-t/日）</t>
    <rPh sb="0" eb="1">
      <t>ニチ</t>
    </rPh>
    <rPh sb="1" eb="3">
      <t>サイダイ</t>
    </rPh>
    <rPh sb="3" eb="5">
      <t>ショリ</t>
    </rPh>
    <rPh sb="5" eb="7">
      <t>オデイ</t>
    </rPh>
    <rPh sb="9" eb="10">
      <t>リョウ</t>
    </rPh>
    <rPh sb="16" eb="17">
      <t>ヒ</t>
    </rPh>
    <phoneticPr fontId="1"/>
  </si>
  <si>
    <t>日平均処理汚泥DS量（DS-t/日）</t>
    <rPh sb="0" eb="1">
      <t>ニチ</t>
    </rPh>
    <rPh sb="1" eb="3">
      <t>ヘイキン</t>
    </rPh>
    <rPh sb="3" eb="5">
      <t>ショリ</t>
    </rPh>
    <rPh sb="5" eb="7">
      <t>オデイ</t>
    </rPh>
    <rPh sb="9" eb="10">
      <t>リョウ</t>
    </rPh>
    <rPh sb="16" eb="17">
      <t>ヒ</t>
    </rPh>
    <phoneticPr fontId="1"/>
  </si>
  <si>
    <t>焼却灰発生率（%)</t>
    <rPh sb="0" eb="2">
      <t>ショウキャク</t>
    </rPh>
    <rPh sb="2" eb="3">
      <t>ハイ</t>
    </rPh>
    <rPh sb="3" eb="5">
      <t>ハッセイ</t>
    </rPh>
    <rPh sb="5" eb="6">
      <t>リツ</t>
    </rPh>
    <phoneticPr fontId="1"/>
  </si>
  <si>
    <t>灰処分費（円/t)</t>
    <rPh sb="0" eb="1">
      <t>ハイ</t>
    </rPh>
    <rPh sb="1" eb="3">
      <t>ショブン</t>
    </rPh>
    <rPh sb="3" eb="4">
      <t>ヒ</t>
    </rPh>
    <rPh sb="5" eb="6">
      <t>エン</t>
    </rPh>
    <phoneticPr fontId="1"/>
  </si>
  <si>
    <t>焼却灰処分費（運搬費含む）</t>
    <rPh sb="0" eb="2">
      <t>ショウキャク</t>
    </rPh>
    <rPh sb="2" eb="3">
      <t>ハイ</t>
    </rPh>
    <rPh sb="3" eb="5">
      <t>ショブン</t>
    </rPh>
    <rPh sb="5" eb="6">
      <t>ヒ</t>
    </rPh>
    <rPh sb="7" eb="9">
      <t>ウンパン</t>
    </rPh>
    <rPh sb="9" eb="10">
      <t>ヒ</t>
    </rPh>
    <rPh sb="10" eb="11">
      <t>フク</t>
    </rPh>
    <phoneticPr fontId="1"/>
  </si>
  <si>
    <t>日最大濃縮汚泥発生量（m3/日）</t>
    <rPh sb="0" eb="1">
      <t>ニチ</t>
    </rPh>
    <rPh sb="1" eb="3">
      <t>サイダイ</t>
    </rPh>
    <rPh sb="3" eb="5">
      <t>ノウシュク</t>
    </rPh>
    <rPh sb="5" eb="7">
      <t>オデイ</t>
    </rPh>
    <rPh sb="7" eb="9">
      <t>ハッセイ</t>
    </rPh>
    <rPh sb="9" eb="10">
      <t>リョウ</t>
    </rPh>
    <rPh sb="14" eb="15">
      <t>ヒ</t>
    </rPh>
    <phoneticPr fontId="1"/>
  </si>
  <si>
    <t>日平均濃縮汚泥発生量（m3/日）</t>
    <rPh sb="0" eb="1">
      <t>ニチ</t>
    </rPh>
    <rPh sb="1" eb="3">
      <t>ヘイキン</t>
    </rPh>
    <rPh sb="3" eb="5">
      <t>ノウシュク</t>
    </rPh>
    <rPh sb="5" eb="7">
      <t>オデイ</t>
    </rPh>
    <rPh sb="7" eb="9">
      <t>ハッセイ</t>
    </rPh>
    <rPh sb="9" eb="10">
      <t>リョウ</t>
    </rPh>
    <rPh sb="14" eb="15">
      <t>ヒ</t>
    </rPh>
    <phoneticPr fontId="1"/>
  </si>
  <si>
    <t>汚泥有機分率（％）（VTS）</t>
    <rPh sb="0" eb="2">
      <t>オデイ</t>
    </rPh>
    <rPh sb="2" eb="4">
      <t>ユウキ</t>
    </rPh>
    <rPh sb="4" eb="5">
      <t>ブン</t>
    </rPh>
    <rPh sb="5" eb="6">
      <t>リツ</t>
    </rPh>
    <phoneticPr fontId="1"/>
  </si>
  <si>
    <t>濃縮汚泥濃度（TS）（％）</t>
    <rPh sb="0" eb="2">
      <t>ノウシュク</t>
    </rPh>
    <rPh sb="2" eb="4">
      <t>オデイ</t>
    </rPh>
    <rPh sb="4" eb="6">
      <t>ノウド</t>
    </rPh>
    <phoneticPr fontId="1"/>
  </si>
  <si>
    <t>無機物量（DS-VS）</t>
    <rPh sb="0" eb="2">
      <t>ムキ</t>
    </rPh>
    <rPh sb="2" eb="3">
      <t>ブツ</t>
    </rPh>
    <rPh sb="3" eb="4">
      <t>リョウ</t>
    </rPh>
    <phoneticPr fontId="1"/>
  </si>
  <si>
    <t>有機固形分率（VSS/VS）（％）</t>
    <rPh sb="0" eb="2">
      <t>ユウキ</t>
    </rPh>
    <rPh sb="2" eb="4">
      <t>コケイ</t>
    </rPh>
    <rPh sb="4" eb="5">
      <t>ブン</t>
    </rPh>
    <rPh sb="5" eb="6">
      <t>リツ</t>
    </rPh>
    <phoneticPr fontId="1"/>
  </si>
  <si>
    <t>全有機物量（VS）</t>
    <rPh sb="0" eb="1">
      <t>ゼン</t>
    </rPh>
    <rPh sb="1" eb="4">
      <t>ユウキブツ</t>
    </rPh>
    <rPh sb="4" eb="5">
      <t>リョウ</t>
    </rPh>
    <phoneticPr fontId="1"/>
  </si>
  <si>
    <t>t/年</t>
    <rPh sb="2" eb="3">
      <t>ネン</t>
    </rPh>
    <phoneticPr fontId="1"/>
  </si>
  <si>
    <t>有機固形物量（VSS）</t>
    <rPh sb="0" eb="2">
      <t>ユウキ</t>
    </rPh>
    <rPh sb="2" eb="4">
      <t>コケイ</t>
    </rPh>
    <rPh sb="4" eb="5">
      <t>ブツ</t>
    </rPh>
    <rPh sb="5" eb="6">
      <t>リョウ</t>
    </rPh>
    <phoneticPr fontId="1"/>
  </si>
  <si>
    <t>未消化有機固形物量（VSS'）</t>
    <rPh sb="0" eb="3">
      <t>ミショウカ</t>
    </rPh>
    <rPh sb="3" eb="5">
      <t>ユウキ</t>
    </rPh>
    <rPh sb="5" eb="7">
      <t>コケイ</t>
    </rPh>
    <rPh sb="7" eb="8">
      <t>ブツ</t>
    </rPh>
    <rPh sb="8" eb="9">
      <t>リョウ</t>
    </rPh>
    <phoneticPr fontId="1"/>
  </si>
  <si>
    <t>Y=日平均処理汚泥量（DS-t/日)×汚泥有機分率（％）</t>
    <rPh sb="2" eb="3">
      <t>ニチ</t>
    </rPh>
    <rPh sb="3" eb="5">
      <t>ヘイキン</t>
    </rPh>
    <rPh sb="5" eb="7">
      <t>ショリ</t>
    </rPh>
    <rPh sb="7" eb="9">
      <t>オデイ</t>
    </rPh>
    <rPh sb="9" eb="10">
      <t>リョウ</t>
    </rPh>
    <rPh sb="16" eb="17">
      <t>ヒ</t>
    </rPh>
    <rPh sb="19" eb="21">
      <t>オデイ</t>
    </rPh>
    <rPh sb="21" eb="23">
      <t>ユウキ</t>
    </rPh>
    <rPh sb="23" eb="24">
      <t>ブン</t>
    </rPh>
    <rPh sb="24" eb="25">
      <t>リツ</t>
    </rPh>
    <phoneticPr fontId="1"/>
  </si>
  <si>
    <t>Y=日平均処理汚泥量（DS-t/日)-全有機物量(t/日）</t>
    <rPh sb="2" eb="3">
      <t>ニチ</t>
    </rPh>
    <rPh sb="3" eb="5">
      <t>ヘイキン</t>
    </rPh>
    <rPh sb="19" eb="20">
      <t>ゼン</t>
    </rPh>
    <rPh sb="20" eb="23">
      <t>ユウキブツ</t>
    </rPh>
    <rPh sb="23" eb="24">
      <t>リョウ</t>
    </rPh>
    <rPh sb="27" eb="28">
      <t>ヒ</t>
    </rPh>
    <phoneticPr fontId="1"/>
  </si>
  <si>
    <t>Y=無機物量（t/日）×革新的技術 稼働日数（日/年）</t>
    <rPh sb="2" eb="4">
      <t>ムキ</t>
    </rPh>
    <rPh sb="4" eb="6">
      <t>ブツリョウ</t>
    </rPh>
    <rPh sb="9" eb="10">
      <t>ヒ</t>
    </rPh>
    <rPh sb="12" eb="15">
      <t>カクシンテキ</t>
    </rPh>
    <rPh sb="15" eb="17">
      <t>ギジュツ</t>
    </rPh>
    <rPh sb="18" eb="20">
      <t>カドウ</t>
    </rPh>
    <rPh sb="20" eb="22">
      <t>ニッスウ</t>
    </rPh>
    <rPh sb="23" eb="24">
      <t>ヒ</t>
    </rPh>
    <rPh sb="25" eb="26">
      <t>ネン</t>
    </rPh>
    <phoneticPr fontId="1"/>
  </si>
  <si>
    <t>Y=全有機物量(VS)（t/日）×革新的技術 稼働日数（日/年）</t>
    <rPh sb="2" eb="3">
      <t>ゼン</t>
    </rPh>
    <rPh sb="3" eb="5">
      <t>ユウキ</t>
    </rPh>
    <rPh sb="5" eb="7">
      <t>ブツリョウ</t>
    </rPh>
    <rPh sb="14" eb="15">
      <t>ヒ</t>
    </rPh>
    <rPh sb="17" eb="19">
      <t>カクシン</t>
    </rPh>
    <rPh sb="19" eb="20">
      <t>テキ</t>
    </rPh>
    <rPh sb="20" eb="22">
      <t>ギジュツ</t>
    </rPh>
    <rPh sb="23" eb="25">
      <t>カドウ</t>
    </rPh>
    <rPh sb="25" eb="27">
      <t>ニッスウ</t>
    </rPh>
    <rPh sb="28" eb="29">
      <t>ヒ</t>
    </rPh>
    <rPh sb="30" eb="31">
      <t>ネン</t>
    </rPh>
    <phoneticPr fontId="1"/>
  </si>
  <si>
    <t>Y=全有機物量(VS)（t/日）×有機固形分率（％）</t>
    <rPh sb="2" eb="3">
      <t>ゼン</t>
    </rPh>
    <rPh sb="3" eb="5">
      <t>ユウキ</t>
    </rPh>
    <rPh sb="5" eb="7">
      <t>ブツリョウ</t>
    </rPh>
    <rPh sb="17" eb="19">
      <t>ユウキ</t>
    </rPh>
    <rPh sb="19" eb="21">
      <t>コケイ</t>
    </rPh>
    <rPh sb="21" eb="22">
      <t>ブン</t>
    </rPh>
    <rPh sb="22" eb="23">
      <t>リツ</t>
    </rPh>
    <phoneticPr fontId="1"/>
  </si>
  <si>
    <t>Y=有機固形物量(VSS)（t/日）×革新的技術 稼働日数（日/年）</t>
    <rPh sb="2" eb="4">
      <t>ユウキ</t>
    </rPh>
    <rPh sb="4" eb="6">
      <t>コケイ</t>
    </rPh>
    <rPh sb="6" eb="8">
      <t>ブツリョウ</t>
    </rPh>
    <rPh sb="19" eb="22">
      <t>カクシンテキ</t>
    </rPh>
    <rPh sb="22" eb="24">
      <t>ギジュツ</t>
    </rPh>
    <rPh sb="25" eb="27">
      <t>カドウ</t>
    </rPh>
    <rPh sb="27" eb="29">
      <t>ニッスウ</t>
    </rPh>
    <rPh sb="30" eb="31">
      <t>ヒ</t>
    </rPh>
    <rPh sb="32" eb="33">
      <t>ネン</t>
    </rPh>
    <phoneticPr fontId="1"/>
  </si>
  <si>
    <t>固形有機物分解率=66.4(%)</t>
    <rPh sb="0" eb="2">
      <t>コケイ</t>
    </rPh>
    <rPh sb="2" eb="4">
      <t>ユウキ</t>
    </rPh>
    <rPh sb="4" eb="5">
      <t>ブツ</t>
    </rPh>
    <rPh sb="5" eb="7">
      <t>ブンカイ</t>
    </rPh>
    <rPh sb="7" eb="8">
      <t>リツ</t>
    </rPh>
    <phoneticPr fontId="1"/>
  </si>
  <si>
    <t>Y=有機固形物量（t/日)×(１－固形有機物分解率(％)/100)</t>
    <rPh sb="2" eb="4">
      <t>ユウキ</t>
    </rPh>
    <rPh sb="4" eb="6">
      <t>コケイ</t>
    </rPh>
    <rPh sb="6" eb="8">
      <t>ブツリョウ</t>
    </rPh>
    <rPh sb="11" eb="12">
      <t>ヒ</t>
    </rPh>
    <rPh sb="17" eb="19">
      <t>コケイ</t>
    </rPh>
    <rPh sb="19" eb="21">
      <t>ユウキ</t>
    </rPh>
    <rPh sb="21" eb="22">
      <t>ブツ</t>
    </rPh>
    <rPh sb="22" eb="24">
      <t>ブンカイ</t>
    </rPh>
    <rPh sb="24" eb="25">
      <t>リツ</t>
    </rPh>
    <phoneticPr fontId="1"/>
  </si>
  <si>
    <t>Y=未消化有機固形物量（t/日)×革新的技術 稼働日数(日/年）</t>
    <rPh sb="2" eb="5">
      <t>ミショウカ</t>
    </rPh>
    <rPh sb="5" eb="7">
      <t>ユウキ</t>
    </rPh>
    <rPh sb="7" eb="10">
      <t>コケイブツ</t>
    </rPh>
    <rPh sb="10" eb="11">
      <t>リョウ</t>
    </rPh>
    <rPh sb="17" eb="20">
      <t>カクシンテキ</t>
    </rPh>
    <rPh sb="20" eb="22">
      <t>ギジュツ</t>
    </rPh>
    <rPh sb="23" eb="25">
      <t>カドウ</t>
    </rPh>
    <rPh sb="25" eb="27">
      <t>ニッスウ</t>
    </rPh>
    <rPh sb="28" eb="29">
      <t>ヒ</t>
    </rPh>
    <rPh sb="30" eb="31">
      <t>ネン</t>
    </rPh>
    <phoneticPr fontId="1"/>
  </si>
  <si>
    <t>消化汚泥中の固形物量</t>
    <rPh sb="0" eb="2">
      <t>ショウカ</t>
    </rPh>
    <rPh sb="2" eb="4">
      <t>オデイ</t>
    </rPh>
    <rPh sb="4" eb="5">
      <t>ナカ</t>
    </rPh>
    <rPh sb="6" eb="8">
      <t>コケイ</t>
    </rPh>
    <rPh sb="8" eb="10">
      <t>ブツリョウ</t>
    </rPh>
    <phoneticPr fontId="1"/>
  </si>
  <si>
    <t>t/日</t>
    <rPh sb="2" eb="3">
      <t>ニチ</t>
    </rPh>
    <phoneticPr fontId="1"/>
  </si>
  <si>
    <t>Y=無機物量（t/日）＋未消化有機固形物量（t/日）</t>
    <rPh sb="2" eb="4">
      <t>ムキ</t>
    </rPh>
    <rPh sb="4" eb="6">
      <t>ブツリョウ</t>
    </rPh>
    <rPh sb="9" eb="10">
      <t>ヒ</t>
    </rPh>
    <rPh sb="12" eb="15">
      <t>ミショウカ</t>
    </rPh>
    <rPh sb="15" eb="17">
      <t>ユウキ</t>
    </rPh>
    <rPh sb="17" eb="19">
      <t>コケイ</t>
    </rPh>
    <rPh sb="19" eb="21">
      <t>ブツリョウ</t>
    </rPh>
    <rPh sb="24" eb="25">
      <t>ヒ</t>
    </rPh>
    <phoneticPr fontId="1"/>
  </si>
  <si>
    <t>物量</t>
    <rPh sb="0" eb="2">
      <t>ブツリョウ</t>
    </rPh>
    <phoneticPr fontId="1"/>
  </si>
  <si>
    <t>水熱、消化設備</t>
    <rPh sb="0" eb="1">
      <t>スイ</t>
    </rPh>
    <rPh sb="1" eb="2">
      <t>ネツ</t>
    </rPh>
    <rPh sb="3" eb="5">
      <t>ショウカ</t>
    </rPh>
    <rPh sb="5" eb="7">
      <t>セツビ</t>
    </rPh>
    <phoneticPr fontId="1"/>
  </si>
  <si>
    <t>脱水機（既設）</t>
    <rPh sb="0" eb="2">
      <t>ダッスイ</t>
    </rPh>
    <rPh sb="2" eb="3">
      <t>キ</t>
    </rPh>
    <rPh sb="4" eb="6">
      <t>キセツ</t>
    </rPh>
    <phoneticPr fontId="1"/>
  </si>
  <si>
    <t>脱水後の固形物量</t>
    <rPh sb="0" eb="2">
      <t>ダッスイ</t>
    </rPh>
    <rPh sb="2" eb="3">
      <t>ゴ</t>
    </rPh>
    <rPh sb="4" eb="7">
      <t>コケイブツ</t>
    </rPh>
    <rPh sb="7" eb="8">
      <t>リョウ</t>
    </rPh>
    <phoneticPr fontId="1"/>
  </si>
  <si>
    <t>Y=消化汚泥の固形物量（t/日)×固形物回収率(%)</t>
    <rPh sb="2" eb="4">
      <t>ショウカ</t>
    </rPh>
    <rPh sb="4" eb="6">
      <t>オデイ</t>
    </rPh>
    <rPh sb="7" eb="9">
      <t>コケイ</t>
    </rPh>
    <rPh sb="9" eb="11">
      <t>ブツリョウ</t>
    </rPh>
    <rPh sb="14" eb="15">
      <t>ヒ</t>
    </rPh>
    <rPh sb="17" eb="20">
      <t>コケイブツ</t>
    </rPh>
    <rPh sb="20" eb="22">
      <t>カイシュウ</t>
    </rPh>
    <rPh sb="22" eb="23">
      <t>リツ</t>
    </rPh>
    <phoneticPr fontId="1"/>
  </si>
  <si>
    <t>脱水機の固形物回収率=95(%)</t>
    <rPh sb="0" eb="2">
      <t>ダッスイ</t>
    </rPh>
    <rPh sb="2" eb="3">
      <t>キ</t>
    </rPh>
    <rPh sb="4" eb="7">
      <t>コケイブツ</t>
    </rPh>
    <rPh sb="7" eb="9">
      <t>カイシュウ</t>
    </rPh>
    <rPh sb="9" eb="10">
      <t>リツ</t>
    </rPh>
    <phoneticPr fontId="1"/>
  </si>
  <si>
    <t>Y=脱水後の固形物量(t/日)×革新的技術 稼働日数(日/年)</t>
    <rPh sb="2" eb="4">
      <t>ダッスイ</t>
    </rPh>
    <rPh sb="4" eb="5">
      <t>ゴ</t>
    </rPh>
    <rPh sb="6" eb="8">
      <t>コケイ</t>
    </rPh>
    <rPh sb="8" eb="10">
      <t>ブツリョウ</t>
    </rPh>
    <rPh sb="13" eb="14">
      <t>ヒ</t>
    </rPh>
    <rPh sb="16" eb="19">
      <t>カクシンテキ</t>
    </rPh>
    <rPh sb="19" eb="21">
      <t>ギジュツ</t>
    </rPh>
    <rPh sb="22" eb="24">
      <t>カドウ</t>
    </rPh>
    <rPh sb="24" eb="26">
      <t>ニッスウ</t>
    </rPh>
    <rPh sb="27" eb="28">
      <t>ヒ</t>
    </rPh>
    <rPh sb="29" eb="30">
      <t>ネン</t>
    </rPh>
    <phoneticPr fontId="1"/>
  </si>
  <si>
    <t>革新的技術導入後の脱水汚泥量</t>
    <rPh sb="0" eb="3">
      <t>カクシンテキ</t>
    </rPh>
    <rPh sb="3" eb="5">
      <t>ギジュツ</t>
    </rPh>
    <rPh sb="5" eb="7">
      <t>ドウニュウ</t>
    </rPh>
    <rPh sb="7" eb="8">
      <t>ゴ</t>
    </rPh>
    <rPh sb="9" eb="11">
      <t>ダッスイ</t>
    </rPh>
    <rPh sb="11" eb="13">
      <t>オデイ</t>
    </rPh>
    <rPh sb="13" eb="14">
      <t>リョウ</t>
    </rPh>
    <phoneticPr fontId="1"/>
  </si>
  <si>
    <t>革新的技術導入後の脱水汚泥量、固形燃料製造量　※脱水機は既設利用する場合</t>
    <rPh sb="0" eb="3">
      <t>カクシンテキ</t>
    </rPh>
    <rPh sb="3" eb="5">
      <t>ギジュツ</t>
    </rPh>
    <rPh sb="5" eb="7">
      <t>ドウニュウ</t>
    </rPh>
    <rPh sb="7" eb="8">
      <t>ゴ</t>
    </rPh>
    <rPh sb="9" eb="11">
      <t>ダッスイ</t>
    </rPh>
    <rPh sb="11" eb="13">
      <t>オデイ</t>
    </rPh>
    <rPh sb="13" eb="14">
      <t>リョウ</t>
    </rPh>
    <rPh sb="15" eb="17">
      <t>コケイ</t>
    </rPh>
    <rPh sb="17" eb="19">
      <t>ネンリョウ</t>
    </rPh>
    <rPh sb="19" eb="21">
      <t>セイゾウ</t>
    </rPh>
    <rPh sb="21" eb="22">
      <t>リョウ</t>
    </rPh>
    <rPh sb="24" eb="27">
      <t>ダッスイキ</t>
    </rPh>
    <rPh sb="28" eb="30">
      <t>キセツ</t>
    </rPh>
    <rPh sb="30" eb="32">
      <t>リヨウ</t>
    </rPh>
    <rPh sb="34" eb="36">
      <t>バアイ</t>
    </rPh>
    <phoneticPr fontId="1"/>
  </si>
  <si>
    <t>脱水汚泥含水率=66.2%</t>
    <rPh sb="0" eb="2">
      <t>ダッスイ</t>
    </rPh>
    <rPh sb="2" eb="4">
      <t>オデイ</t>
    </rPh>
    <rPh sb="4" eb="6">
      <t>ガンスイ</t>
    </rPh>
    <rPh sb="6" eb="7">
      <t>リツ</t>
    </rPh>
    <phoneticPr fontId="1"/>
  </si>
  <si>
    <t>固形燃料製造量</t>
    <rPh sb="0" eb="2">
      <t>コケイ</t>
    </rPh>
    <rPh sb="2" eb="4">
      <t>ネンリョウ</t>
    </rPh>
    <rPh sb="4" eb="6">
      <t>セイゾウ</t>
    </rPh>
    <rPh sb="6" eb="7">
      <t>リョウ</t>
    </rPh>
    <phoneticPr fontId="1"/>
  </si>
  <si>
    <t>固形燃料含水率=40(%)</t>
    <rPh sb="0" eb="2">
      <t>コケイ</t>
    </rPh>
    <rPh sb="2" eb="4">
      <t>ネンリョウ</t>
    </rPh>
    <rPh sb="4" eb="6">
      <t>ガンスイ</t>
    </rPh>
    <rPh sb="6" eb="7">
      <t>リツ</t>
    </rPh>
    <phoneticPr fontId="1"/>
  </si>
  <si>
    <t>Y=脱水後の固形物量（t/日）/（1-脱水汚泥含水率（%）/100）</t>
    <rPh sb="2" eb="4">
      <t>ダッスイ</t>
    </rPh>
    <rPh sb="4" eb="5">
      <t>ゴ</t>
    </rPh>
    <rPh sb="6" eb="8">
      <t>コケイ</t>
    </rPh>
    <rPh sb="8" eb="10">
      <t>ブツリョウ</t>
    </rPh>
    <rPh sb="13" eb="14">
      <t>ヒ</t>
    </rPh>
    <rPh sb="19" eb="21">
      <t>ダッスイ</t>
    </rPh>
    <rPh sb="21" eb="23">
      <t>オデイ</t>
    </rPh>
    <rPh sb="23" eb="25">
      <t>ガンスイ</t>
    </rPh>
    <rPh sb="25" eb="26">
      <t>リツ</t>
    </rPh>
    <phoneticPr fontId="1"/>
  </si>
  <si>
    <t>Y=脱水後の固形物量（t/日）/（1-固形燃料含水率（%）/100）</t>
    <rPh sb="2" eb="4">
      <t>ダッスイ</t>
    </rPh>
    <rPh sb="4" eb="5">
      <t>ゴ</t>
    </rPh>
    <rPh sb="6" eb="8">
      <t>コケイ</t>
    </rPh>
    <rPh sb="8" eb="10">
      <t>ブツリョウ</t>
    </rPh>
    <rPh sb="19" eb="21">
      <t>コケイ</t>
    </rPh>
    <rPh sb="21" eb="23">
      <t>ネンリョウ</t>
    </rPh>
    <phoneticPr fontId="1"/>
  </si>
  <si>
    <t>Y=固形燃料製造量（t/日）×革新的技術 稼働日数（日/年）</t>
    <rPh sb="2" eb="4">
      <t>コケイ</t>
    </rPh>
    <rPh sb="4" eb="6">
      <t>ネンリョウ</t>
    </rPh>
    <rPh sb="6" eb="8">
      <t>セイゾウ</t>
    </rPh>
    <rPh sb="8" eb="9">
      <t>リョウ</t>
    </rPh>
    <rPh sb="12" eb="13">
      <t>ヒ</t>
    </rPh>
    <rPh sb="15" eb="18">
      <t>カクシンテキ</t>
    </rPh>
    <rPh sb="18" eb="20">
      <t>ギジュツ</t>
    </rPh>
    <rPh sb="21" eb="23">
      <t>カドウ</t>
    </rPh>
    <rPh sb="23" eb="25">
      <t>ニッスウ</t>
    </rPh>
    <rPh sb="26" eb="27">
      <t>ニチ</t>
    </rPh>
    <rPh sb="28" eb="29">
      <t>ネン</t>
    </rPh>
    <phoneticPr fontId="1"/>
  </si>
  <si>
    <t>Y=消化汚泥中の固形物量（t/日）×　
　　　　　革新的技術 稼働日数（日/年）</t>
    <rPh sb="2" eb="4">
      <t>ショウカ</t>
    </rPh>
    <rPh sb="4" eb="6">
      <t>オデイ</t>
    </rPh>
    <rPh sb="6" eb="7">
      <t>ナカ</t>
    </rPh>
    <rPh sb="8" eb="10">
      <t>コケイ</t>
    </rPh>
    <rPh sb="10" eb="12">
      <t>ブツリョウ</t>
    </rPh>
    <rPh sb="15" eb="16">
      <t>ヒ</t>
    </rPh>
    <rPh sb="25" eb="30">
      <t>カクシンテキギジュツ</t>
    </rPh>
    <rPh sb="31" eb="33">
      <t>カドウ</t>
    </rPh>
    <rPh sb="33" eb="35">
      <t>ニッスウ</t>
    </rPh>
    <rPh sb="36" eb="37">
      <t>ヒ</t>
    </rPh>
    <rPh sb="38" eb="39">
      <t>ネン</t>
    </rPh>
    <phoneticPr fontId="1"/>
  </si>
  <si>
    <t>＜革新的技術＞</t>
    <rPh sb="1" eb="4">
      <t>カクシンテキ</t>
    </rPh>
    <rPh sb="4" eb="6">
      <t>ギジュツ</t>
    </rPh>
    <phoneticPr fontId="1"/>
  </si>
  <si>
    <t>＜従来技術＞</t>
    <rPh sb="1" eb="3">
      <t>ジュウライ</t>
    </rPh>
    <rPh sb="3" eb="5">
      <t>ギジュツ</t>
    </rPh>
    <phoneticPr fontId="1"/>
  </si>
  <si>
    <t>固形有機物分解率（％）</t>
    <rPh sb="0" eb="8">
      <t>コケイユウキブツブンカイリツ</t>
    </rPh>
    <phoneticPr fontId="1"/>
  </si>
  <si>
    <t>脱水機の固形物回収率（％）</t>
    <rPh sb="0" eb="2">
      <t>ダッスイ</t>
    </rPh>
    <rPh sb="2" eb="3">
      <t>キ</t>
    </rPh>
    <rPh sb="4" eb="7">
      <t>コケイブツ</t>
    </rPh>
    <rPh sb="7" eb="9">
      <t>カイシュウ</t>
    </rPh>
    <rPh sb="9" eb="10">
      <t>リツ</t>
    </rPh>
    <phoneticPr fontId="1"/>
  </si>
  <si>
    <t>脱水汚泥含水率（％）</t>
    <rPh sb="0" eb="2">
      <t>ダッスイ</t>
    </rPh>
    <rPh sb="2" eb="4">
      <t>オデイ</t>
    </rPh>
    <rPh sb="4" eb="6">
      <t>ガンスイ</t>
    </rPh>
    <rPh sb="6" eb="7">
      <t>リツ</t>
    </rPh>
    <phoneticPr fontId="1"/>
  </si>
  <si>
    <t>固形燃料含水率（％）</t>
    <rPh sb="0" eb="2">
      <t>コケイ</t>
    </rPh>
    <rPh sb="2" eb="4">
      <t>ネンリョウ</t>
    </rPh>
    <rPh sb="4" eb="6">
      <t>ガンスイ</t>
    </rPh>
    <rPh sb="6" eb="7">
      <t>リツ</t>
    </rPh>
    <phoneticPr fontId="1"/>
  </si>
  <si>
    <r>
      <t>Y=年間処理脱水汚泥量（wet-t/年)×(1-脱水汚泥含水率（%）/100）×焼却灰発生率(%)×灰処分単価(円/t)/10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ネンカン</t>
    </rPh>
    <rPh sb="4" eb="6">
      <t>ショリ</t>
    </rPh>
    <rPh sb="6" eb="8">
      <t>ダッスイ</t>
    </rPh>
    <rPh sb="8" eb="10">
      <t>オデイ</t>
    </rPh>
    <rPh sb="10" eb="11">
      <t>リョウ</t>
    </rPh>
    <rPh sb="18" eb="19">
      <t>ネン</t>
    </rPh>
    <rPh sb="24" eb="26">
      <t>ダッスイ</t>
    </rPh>
    <rPh sb="26" eb="28">
      <t>オデイ</t>
    </rPh>
    <rPh sb="28" eb="30">
      <t>ガンスイ</t>
    </rPh>
    <rPh sb="30" eb="31">
      <t>リツ</t>
    </rPh>
    <rPh sb="40" eb="42">
      <t>ショウキャク</t>
    </rPh>
    <rPh sb="42" eb="43">
      <t>ハイ</t>
    </rPh>
    <rPh sb="43" eb="45">
      <t>ハッセイ</t>
    </rPh>
    <rPh sb="45" eb="46">
      <t>リツ</t>
    </rPh>
    <rPh sb="50" eb="51">
      <t>ハイ</t>
    </rPh>
    <rPh sb="51" eb="53">
      <t>ショブン</t>
    </rPh>
    <rPh sb="53" eb="55">
      <t>タンカ</t>
    </rPh>
    <rPh sb="56" eb="57">
      <t>エン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</si>
  <si>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=412.34Qd</t>
    </r>
    <r>
      <rPr>
        <vertAlign val="superscript"/>
        <sz val="11"/>
        <color theme="1"/>
        <rFont val="游ゴシック"/>
        <family val="3"/>
        <charset val="128"/>
        <scheme val="minor"/>
      </rPr>
      <t>0.8884</t>
    </r>
    <r>
      <rPr>
        <sz val="11"/>
        <color theme="1"/>
        <rFont val="游ゴシック"/>
        <family val="3"/>
        <charset val="128"/>
        <scheme val="minor"/>
      </rPr>
      <t/>
    </r>
    <phoneticPr fontId="1"/>
  </si>
  <si>
    <t>GJ/年</t>
    <rPh sb="3" eb="4">
      <t>ネン</t>
    </rPh>
    <phoneticPr fontId="1"/>
  </si>
  <si>
    <t>Y=3248.5Qd</t>
    <phoneticPr fontId="1"/>
  </si>
  <si>
    <t>乾燥効率（％）</t>
    <rPh sb="0" eb="2">
      <t>カンソウ</t>
    </rPh>
    <rPh sb="2" eb="4">
      <t>コウリツ</t>
    </rPh>
    <phoneticPr fontId="1"/>
  </si>
  <si>
    <r>
      <t>Y=蒸発潜熱(kJ/kg-H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O)×(脱水汚泥の固形物量（t/年）×（脱水汚泥含水率(%)/100-脱水汚泥含水率（%））-固形燃料含水率（%)/（100-固形燃料含水率(%)))/(乾燥効率（%）/100)/10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Ph sb="2" eb="4">
      <t>ジョウハツ</t>
    </rPh>
    <rPh sb="4" eb="6">
      <t>センネツ</t>
    </rPh>
    <rPh sb="92" eb="94">
      <t>カンソウ</t>
    </rPh>
    <rPh sb="94" eb="96">
      <t>コウリツ</t>
    </rPh>
    <phoneticPr fontId="1"/>
  </si>
  <si>
    <t>Y=784.75Qd</t>
    <phoneticPr fontId="1"/>
  </si>
  <si>
    <r>
      <t>バイオガス発生倍率(Nm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/kg-VS)</t>
    </r>
    <rPh sb="5" eb="7">
      <t>ハッセイ</t>
    </rPh>
    <rPh sb="7" eb="9">
      <t>バイリツ</t>
    </rPh>
    <phoneticPr fontId="1"/>
  </si>
  <si>
    <t>メタンガス濃度(%)</t>
    <rPh sb="5" eb="7">
      <t>ノウド</t>
    </rPh>
    <phoneticPr fontId="1"/>
  </si>
  <si>
    <r>
      <t>メタンガス発熱量（MJ/Nm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）</t>
    </r>
    <rPh sb="5" eb="7">
      <t>ハツネツ</t>
    </rPh>
    <rPh sb="7" eb="8">
      <t>リョウ</t>
    </rPh>
    <phoneticPr fontId="1"/>
  </si>
  <si>
    <t>Y=399.44Qd</t>
    <phoneticPr fontId="1"/>
  </si>
  <si>
    <t>エネルギー使用量合計</t>
    <rPh sb="5" eb="8">
      <t>シヨウリョウ</t>
    </rPh>
    <rPh sb="8" eb="10">
      <t>ゴウケイ</t>
    </rPh>
    <phoneticPr fontId="1"/>
  </si>
  <si>
    <t>－</t>
    <phoneticPr fontId="1"/>
  </si>
  <si>
    <t>エネルギー回収熱量合計</t>
    <rPh sb="5" eb="7">
      <t>カイシュウ</t>
    </rPh>
    <rPh sb="7" eb="9">
      <t>ネツリョウ</t>
    </rPh>
    <rPh sb="9" eb="11">
      <t>ゴウケイ</t>
    </rPh>
    <phoneticPr fontId="1"/>
  </si>
  <si>
    <t>LPGエネルギー原単位(GJ/t)</t>
    <rPh sb="8" eb="11">
      <t>ゲンタンイ</t>
    </rPh>
    <phoneticPr fontId="1"/>
  </si>
  <si>
    <t>維持管理費(LPG費）</t>
    <rPh sb="9" eb="10">
      <t>ヒ</t>
    </rPh>
    <phoneticPr fontId="1"/>
  </si>
  <si>
    <t>Y=不足エネルギー(GJ/年)/LPGエネルギー原単位（GJ/t)</t>
    <rPh sb="2" eb="4">
      <t>フソク</t>
    </rPh>
    <rPh sb="13" eb="14">
      <t>ネン</t>
    </rPh>
    <rPh sb="24" eb="27">
      <t>ゲンタンイ</t>
    </rPh>
    <phoneticPr fontId="1"/>
  </si>
  <si>
    <r>
      <t>Y=LPG消費量(t/年)×LPG費用原単位(円/t)/10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5" eb="7">
      <t>ショウヒ</t>
    </rPh>
    <rPh sb="7" eb="8">
      <t>リョウ</t>
    </rPh>
    <rPh sb="11" eb="12">
      <t>ネン</t>
    </rPh>
    <rPh sb="17" eb="19">
      <t>ヒヨウ</t>
    </rPh>
    <rPh sb="19" eb="22">
      <t>ゲンタンイ</t>
    </rPh>
    <rPh sb="23" eb="24">
      <t>エン</t>
    </rPh>
    <phoneticPr fontId="1"/>
  </si>
  <si>
    <t>LPG単価（円/t）</t>
    <rPh sb="3" eb="5">
      <t>タンカ</t>
    </rPh>
    <rPh sb="6" eb="7">
      <t>エン</t>
    </rPh>
    <phoneticPr fontId="1"/>
  </si>
  <si>
    <t>㉓</t>
    <phoneticPr fontId="1"/>
  </si>
  <si>
    <t>㉔</t>
    <phoneticPr fontId="1"/>
  </si>
  <si>
    <r>
      <t>Y=全有機物量(t/年)×バイオガス発生倍率(m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/kg-VS）×273(K)/(273(K)+15(K))×10832mmH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OA/10332mmH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OA×メタンガス濃度(%)×メタンガス発熱量（MJ/Nm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rPh sb="2" eb="3">
      <t>ゼン</t>
    </rPh>
    <rPh sb="3" eb="6">
      <t>ユウキブツ</t>
    </rPh>
    <rPh sb="6" eb="7">
      <t>リョウ</t>
    </rPh>
    <rPh sb="10" eb="11">
      <t>ネン</t>
    </rPh>
    <rPh sb="18" eb="20">
      <t>ハッセイ</t>
    </rPh>
    <rPh sb="20" eb="22">
      <t>バイリツ</t>
    </rPh>
    <rPh sb="84" eb="86">
      <t>ノウド</t>
    </rPh>
    <rPh sb="95" eb="97">
      <t>ハツネツ</t>
    </rPh>
    <rPh sb="97" eb="98">
      <t>リョウ</t>
    </rPh>
    <phoneticPr fontId="1"/>
  </si>
  <si>
    <t>高分子凝集剤</t>
    <rPh sb="0" eb="3">
      <t>コウブンシ</t>
    </rPh>
    <rPh sb="3" eb="5">
      <t>ギョウシュウ</t>
    </rPh>
    <rPh sb="5" eb="6">
      <t>ザイ</t>
    </rPh>
    <phoneticPr fontId="1"/>
  </si>
  <si>
    <t>（t/年）</t>
    <rPh sb="3" eb="4">
      <t>ネン</t>
    </rPh>
    <phoneticPr fontId="1"/>
  </si>
  <si>
    <r>
      <t>Y=高分子凝集剤使用量（t/年）×単価（円）/10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5">
      <t>コウブンシ</t>
    </rPh>
    <rPh sb="5" eb="7">
      <t>ギョウシュウ</t>
    </rPh>
    <rPh sb="7" eb="8">
      <t>ザイ</t>
    </rPh>
    <rPh sb="8" eb="10">
      <t>シヨウ</t>
    </rPh>
    <rPh sb="10" eb="11">
      <t>リョウ</t>
    </rPh>
    <rPh sb="14" eb="15">
      <t>ネン</t>
    </rPh>
    <rPh sb="17" eb="19">
      <t>タンカ</t>
    </rPh>
    <rPh sb="20" eb="21">
      <t>エン</t>
    </rPh>
    <phoneticPr fontId="1"/>
  </si>
  <si>
    <r>
      <t>高分子凝集剤単価(円/t</t>
    </r>
    <r>
      <rPr>
        <sz val="11"/>
        <rFont val="游ゴシック"/>
        <family val="3"/>
        <charset val="128"/>
        <scheme val="minor"/>
      </rPr>
      <t>)</t>
    </r>
    <rPh sb="0" eb="3">
      <t>コウブンシ</t>
    </rPh>
    <rPh sb="3" eb="5">
      <t>ギョウシュウ</t>
    </rPh>
    <rPh sb="5" eb="6">
      <t>ザイ</t>
    </rPh>
    <rPh sb="6" eb="8">
      <t>タンカ</t>
    </rPh>
    <rPh sb="9" eb="10">
      <t>エン</t>
    </rPh>
    <phoneticPr fontId="1"/>
  </si>
  <si>
    <t>ポリ鉄(ｔ/年)</t>
    <rPh sb="2" eb="3">
      <t>テツ</t>
    </rPh>
    <rPh sb="6" eb="7">
      <t>ネン</t>
    </rPh>
    <phoneticPr fontId="1"/>
  </si>
  <si>
    <t>Y=(1.71+2.86)Qd</t>
    <phoneticPr fontId="1"/>
  </si>
  <si>
    <t>Qd：日平均処理汚泥DS量（DS-t/日）</t>
    <rPh sb="3" eb="4">
      <t>ニチ</t>
    </rPh>
    <rPh sb="4" eb="6">
      <t>ヘイキン</t>
    </rPh>
    <rPh sb="6" eb="8">
      <t>ショリ</t>
    </rPh>
    <rPh sb="8" eb="10">
      <t>オデイ</t>
    </rPh>
    <rPh sb="12" eb="13">
      <t>リョウ</t>
    </rPh>
    <rPh sb="19" eb="20">
      <t>ヒ</t>
    </rPh>
    <phoneticPr fontId="1"/>
  </si>
  <si>
    <t>㉕</t>
    <phoneticPr fontId="1"/>
  </si>
  <si>
    <t>㉖</t>
    <phoneticPr fontId="1"/>
  </si>
  <si>
    <t>維持管理費(高分子凝集剤)</t>
    <rPh sb="6" eb="9">
      <t>コウブンシ</t>
    </rPh>
    <rPh sb="9" eb="11">
      <t>ギョウシュウ</t>
    </rPh>
    <rPh sb="11" eb="12">
      <t>ザイ</t>
    </rPh>
    <phoneticPr fontId="1"/>
  </si>
  <si>
    <t>維持管理費（ポリ硫酸第二鉄）</t>
    <rPh sb="0" eb="2">
      <t>イジ</t>
    </rPh>
    <rPh sb="2" eb="5">
      <t>カンリヒ</t>
    </rPh>
    <rPh sb="8" eb="10">
      <t>リュウサン</t>
    </rPh>
    <rPh sb="10" eb="12">
      <t>ダイニ</t>
    </rPh>
    <rPh sb="12" eb="13">
      <t>テツ</t>
    </rPh>
    <phoneticPr fontId="1"/>
  </si>
  <si>
    <t>苛性ｿｰﾀﾞ(t/年)</t>
    <rPh sb="0" eb="2">
      <t>カセイ</t>
    </rPh>
    <rPh sb="9" eb="10">
      <t>ネン</t>
    </rPh>
    <phoneticPr fontId="1"/>
  </si>
  <si>
    <r>
      <t>Y=0.86Qd</t>
    </r>
    <r>
      <rPr>
        <vertAlign val="superscript"/>
        <sz val="11"/>
        <color theme="1"/>
        <rFont val="游ゴシック"/>
        <family val="3"/>
        <charset val="128"/>
        <scheme val="minor"/>
      </rPr>
      <t>0.404</t>
    </r>
    <phoneticPr fontId="1"/>
  </si>
  <si>
    <r>
      <t>Y=ポリ鉄使用量（t/年）×単価（円/t）/10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4" eb="5">
      <t>テツ</t>
    </rPh>
    <rPh sb="5" eb="7">
      <t>シヨウ</t>
    </rPh>
    <rPh sb="7" eb="8">
      <t>リョウ</t>
    </rPh>
    <rPh sb="11" eb="12">
      <t>ネン</t>
    </rPh>
    <rPh sb="14" eb="16">
      <t>タンカ</t>
    </rPh>
    <rPh sb="17" eb="18">
      <t>エン</t>
    </rPh>
    <phoneticPr fontId="1"/>
  </si>
  <si>
    <r>
      <t>Y=苛性ソーダ使用量(t/年)×単価(円/t)/10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カセイ</t>
    </rPh>
    <rPh sb="7" eb="10">
      <t>シヨウリョウ</t>
    </rPh>
    <rPh sb="13" eb="14">
      <t>ネン</t>
    </rPh>
    <rPh sb="16" eb="18">
      <t>タンカ</t>
    </rPh>
    <rPh sb="19" eb="20">
      <t>エン</t>
    </rPh>
    <phoneticPr fontId="1"/>
  </si>
  <si>
    <t>次亜（t/年)</t>
    <rPh sb="0" eb="1">
      <t>ジ</t>
    </rPh>
    <rPh sb="1" eb="2">
      <t>ア</t>
    </rPh>
    <rPh sb="5" eb="6">
      <t>ネン</t>
    </rPh>
    <phoneticPr fontId="1"/>
  </si>
  <si>
    <r>
      <t>Y=4.51Qd</t>
    </r>
    <r>
      <rPr>
        <vertAlign val="superscript"/>
        <sz val="11"/>
        <color theme="1"/>
        <rFont val="游ゴシック"/>
        <family val="3"/>
        <charset val="128"/>
        <scheme val="minor"/>
      </rPr>
      <t>0.404</t>
    </r>
    <phoneticPr fontId="1"/>
  </si>
  <si>
    <r>
      <t>Y=次亜塩素酸ソーダ使用量(t/年)×単価（円/t)/10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7">
      <t>ジアエンソサン</t>
    </rPh>
    <rPh sb="10" eb="13">
      <t>シヨウリョウ</t>
    </rPh>
    <rPh sb="16" eb="17">
      <t>ネン</t>
    </rPh>
    <rPh sb="19" eb="21">
      <t>タンカ</t>
    </rPh>
    <rPh sb="22" eb="23">
      <t>エン</t>
    </rPh>
    <phoneticPr fontId="1"/>
  </si>
  <si>
    <t>LPG消費量
（t/年）</t>
    <rPh sb="3" eb="6">
      <t>ショウヒリョウ</t>
    </rPh>
    <rPh sb="10" eb="11">
      <t>ネン</t>
    </rPh>
    <phoneticPr fontId="1"/>
  </si>
  <si>
    <t>硫酸(t/年)</t>
    <rPh sb="0" eb="2">
      <t>リュウサン</t>
    </rPh>
    <rPh sb="5" eb="6">
      <t>ネン</t>
    </rPh>
    <phoneticPr fontId="1"/>
  </si>
  <si>
    <r>
      <t>Y=1.59Qd</t>
    </r>
    <r>
      <rPr>
        <vertAlign val="superscript"/>
        <sz val="11"/>
        <color theme="1"/>
        <rFont val="游ゴシック"/>
        <family val="3"/>
        <charset val="128"/>
        <scheme val="minor"/>
      </rPr>
      <t>0.404</t>
    </r>
    <phoneticPr fontId="1"/>
  </si>
  <si>
    <r>
      <t>Y=硫酸使用量（t/年）×単価（円/t）/10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リュウサン</t>
    </rPh>
    <rPh sb="4" eb="7">
      <t>シヨウリョウ</t>
    </rPh>
    <rPh sb="10" eb="11">
      <t>ネン</t>
    </rPh>
    <rPh sb="13" eb="15">
      <t>タンカ</t>
    </rPh>
    <rPh sb="16" eb="17">
      <t>エン</t>
    </rPh>
    <phoneticPr fontId="1"/>
  </si>
  <si>
    <t>脱硫剤(t/年)</t>
    <rPh sb="0" eb="2">
      <t>ダツリュウ</t>
    </rPh>
    <rPh sb="2" eb="3">
      <t>ザイ</t>
    </rPh>
    <rPh sb="6" eb="7">
      <t>ネン</t>
    </rPh>
    <phoneticPr fontId="1"/>
  </si>
  <si>
    <r>
      <t>Y=2.484Qd</t>
    </r>
    <r>
      <rPr>
        <vertAlign val="superscript"/>
        <sz val="11"/>
        <color theme="1"/>
        <rFont val="游ゴシック"/>
        <family val="3"/>
        <charset val="128"/>
        <scheme val="minor"/>
      </rPr>
      <t>0.934</t>
    </r>
    <phoneticPr fontId="1"/>
  </si>
  <si>
    <r>
      <t>Y=脱硫剤使用量（ｔ/年）×単価（円/t）/10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ダツリュウ</t>
    </rPh>
    <rPh sb="4" eb="5">
      <t>ザイ</t>
    </rPh>
    <rPh sb="5" eb="7">
      <t>シヨウ</t>
    </rPh>
    <rPh sb="7" eb="8">
      <t>リョウ</t>
    </rPh>
    <rPh sb="11" eb="12">
      <t>ネン</t>
    </rPh>
    <rPh sb="14" eb="16">
      <t>タンカ</t>
    </rPh>
    <rPh sb="17" eb="18">
      <t>エン</t>
    </rPh>
    <phoneticPr fontId="1"/>
  </si>
  <si>
    <r>
      <t>脱硫剤単価(円/t</t>
    </r>
    <r>
      <rPr>
        <sz val="11"/>
        <rFont val="游ゴシック"/>
        <family val="3"/>
        <charset val="128"/>
        <scheme val="minor"/>
      </rPr>
      <t>)</t>
    </r>
    <rPh sb="0" eb="2">
      <t>ダツリュウ</t>
    </rPh>
    <rPh sb="2" eb="3">
      <t>ザイ</t>
    </rPh>
    <rPh sb="3" eb="5">
      <t>タンカ</t>
    </rPh>
    <rPh sb="6" eb="7">
      <t>エン</t>
    </rPh>
    <phoneticPr fontId="1"/>
  </si>
  <si>
    <t>次亜塩素酸ソーダ単価（円/t）</t>
    <rPh sb="0" eb="5">
      <t>ジアエンソサン</t>
    </rPh>
    <rPh sb="8" eb="10">
      <t>タンカ</t>
    </rPh>
    <rPh sb="11" eb="12">
      <t>エン</t>
    </rPh>
    <phoneticPr fontId="1"/>
  </si>
  <si>
    <t>硫酸単価（円/t）</t>
    <rPh sb="0" eb="2">
      <t>リュウサン</t>
    </rPh>
    <rPh sb="2" eb="4">
      <t>タンカ</t>
    </rPh>
    <rPh sb="5" eb="6">
      <t>エン</t>
    </rPh>
    <phoneticPr fontId="1"/>
  </si>
  <si>
    <t>苛性ソーダ単価（円/t）</t>
    <rPh sb="0" eb="2">
      <t>カセイ</t>
    </rPh>
    <rPh sb="5" eb="7">
      <t>タンカ</t>
    </rPh>
    <rPh sb="8" eb="9">
      <t>エン</t>
    </rPh>
    <phoneticPr fontId="1"/>
  </si>
  <si>
    <t>ポリ硫酸第二鉄単価(円/t）</t>
    <rPh sb="2" eb="4">
      <t>リュウサン</t>
    </rPh>
    <rPh sb="4" eb="6">
      <t>ダイニ</t>
    </rPh>
    <rPh sb="6" eb="7">
      <t>テツ</t>
    </rPh>
    <rPh sb="7" eb="9">
      <t>タンカ</t>
    </rPh>
    <rPh sb="10" eb="11">
      <t>エン</t>
    </rPh>
    <phoneticPr fontId="1"/>
  </si>
  <si>
    <t>維持管理費（苛性ソーダ）</t>
    <rPh sb="0" eb="2">
      <t>イジ</t>
    </rPh>
    <rPh sb="2" eb="4">
      <t>カンリ</t>
    </rPh>
    <rPh sb="4" eb="5">
      <t>ヒ</t>
    </rPh>
    <rPh sb="6" eb="8">
      <t>カセイ</t>
    </rPh>
    <phoneticPr fontId="1"/>
  </si>
  <si>
    <t>維持管理費（次亜塩素酸ソーダ）</t>
    <rPh sb="0" eb="2">
      <t>イジ</t>
    </rPh>
    <rPh sb="2" eb="4">
      <t>カンリ</t>
    </rPh>
    <rPh sb="4" eb="5">
      <t>ヒ</t>
    </rPh>
    <rPh sb="6" eb="11">
      <t>ジアエンソサン</t>
    </rPh>
    <phoneticPr fontId="1"/>
  </si>
  <si>
    <t>維持管理品費（硫酸）</t>
    <rPh sb="0" eb="2">
      <t>イジ</t>
    </rPh>
    <rPh sb="2" eb="4">
      <t>カンリ</t>
    </rPh>
    <rPh sb="4" eb="5">
      <t>ヒン</t>
    </rPh>
    <rPh sb="5" eb="6">
      <t>ヒ</t>
    </rPh>
    <rPh sb="7" eb="9">
      <t>リュウサン</t>
    </rPh>
    <phoneticPr fontId="1"/>
  </si>
  <si>
    <t>維持管理費（脱硫剤）</t>
    <rPh sb="0" eb="2">
      <t>イジ</t>
    </rPh>
    <rPh sb="2" eb="4">
      <t>カンリ</t>
    </rPh>
    <rPh sb="4" eb="5">
      <t>ヒ</t>
    </rPh>
    <rPh sb="6" eb="7">
      <t>ダツ</t>
    </rPh>
    <rPh sb="7" eb="8">
      <t>リュウ</t>
    </rPh>
    <rPh sb="8" eb="9">
      <t>ザイ</t>
    </rPh>
    <phoneticPr fontId="1"/>
  </si>
  <si>
    <t>エネルギー使用量（水熱設備）</t>
    <rPh sb="5" eb="8">
      <t>シヨウリョウ</t>
    </rPh>
    <rPh sb="9" eb="10">
      <t>スイ</t>
    </rPh>
    <rPh sb="10" eb="11">
      <t>ネツ</t>
    </rPh>
    <rPh sb="11" eb="13">
      <t>セツビ</t>
    </rPh>
    <phoneticPr fontId="1"/>
  </si>
  <si>
    <t>エネルギー使用量（乾燥設備）</t>
    <rPh sb="5" eb="8">
      <t>シヨウリョウ</t>
    </rPh>
    <rPh sb="9" eb="11">
      <t>カンソウ</t>
    </rPh>
    <rPh sb="11" eb="13">
      <t>セツビ</t>
    </rPh>
    <phoneticPr fontId="1"/>
  </si>
  <si>
    <t>エネルギー使用量（燃焼脱臭設備）</t>
    <rPh sb="5" eb="8">
      <t>シヨウリョウ</t>
    </rPh>
    <rPh sb="9" eb="11">
      <t>ネンショウ</t>
    </rPh>
    <rPh sb="11" eb="13">
      <t>ダッシュウ</t>
    </rPh>
    <rPh sb="13" eb="15">
      <t>セツビ</t>
    </rPh>
    <phoneticPr fontId="1"/>
  </si>
  <si>
    <t>水熱、消化、乾燥
脱臭設備</t>
    <rPh sb="0" eb="1">
      <t>スイ</t>
    </rPh>
    <rPh sb="1" eb="2">
      <t>ネツ</t>
    </rPh>
    <rPh sb="3" eb="5">
      <t>ショウカ</t>
    </rPh>
    <rPh sb="6" eb="8">
      <t>カンソウ</t>
    </rPh>
    <rPh sb="9" eb="11">
      <t>ダッシュウ</t>
    </rPh>
    <rPh sb="11" eb="13">
      <t>セツビ</t>
    </rPh>
    <phoneticPr fontId="1"/>
  </si>
  <si>
    <t>バイオガス エネルギー回収熱量
（消化設備）</t>
    <rPh sb="11" eb="13">
      <t>カイシュウ</t>
    </rPh>
    <rPh sb="13" eb="15">
      <t>ネツリョウ</t>
    </rPh>
    <rPh sb="17" eb="19">
      <t>ショウカ</t>
    </rPh>
    <rPh sb="19" eb="21">
      <t>セツビ</t>
    </rPh>
    <phoneticPr fontId="1"/>
  </si>
  <si>
    <t>排熱エネルギー回収熱量（燃焼脱臭設備）</t>
    <rPh sb="0" eb="2">
      <t>ハイネツ</t>
    </rPh>
    <rPh sb="7" eb="9">
      <t>カイシュウ</t>
    </rPh>
    <rPh sb="9" eb="11">
      <t>ネツリョウ</t>
    </rPh>
    <rPh sb="12" eb="14">
      <t>ネンショウ</t>
    </rPh>
    <rPh sb="14" eb="16">
      <t>ダッシュウ</t>
    </rPh>
    <rPh sb="16" eb="18">
      <t>セツビ</t>
    </rPh>
    <phoneticPr fontId="1"/>
  </si>
  <si>
    <t>維持管理費（上水費）</t>
    <rPh sb="0" eb="2">
      <t>イジ</t>
    </rPh>
    <rPh sb="2" eb="5">
      <t>カンリヒ</t>
    </rPh>
    <rPh sb="6" eb="8">
      <t>ジョウスイ</t>
    </rPh>
    <rPh sb="8" eb="9">
      <t>ヒ</t>
    </rPh>
    <phoneticPr fontId="1"/>
  </si>
  <si>
    <r>
      <t>Y=436.59Qd</t>
    </r>
    <r>
      <rPr>
        <vertAlign val="superscript"/>
        <sz val="11"/>
        <color theme="1"/>
        <rFont val="游ゴシック"/>
        <family val="3"/>
        <charset val="128"/>
        <scheme val="minor"/>
      </rPr>
      <t>0.893</t>
    </r>
    <phoneticPr fontId="1"/>
  </si>
  <si>
    <t>Y=(機械設備費+電気設備費）×1.5%＋土木建設費×0.5%</t>
    <rPh sb="3" eb="5">
      <t>キカイ</t>
    </rPh>
    <rPh sb="5" eb="7">
      <t>セツビ</t>
    </rPh>
    <rPh sb="7" eb="8">
      <t>ヒ</t>
    </rPh>
    <rPh sb="9" eb="11">
      <t>デンキ</t>
    </rPh>
    <rPh sb="11" eb="13">
      <t>セツビ</t>
    </rPh>
    <rPh sb="13" eb="14">
      <t>ヒ</t>
    </rPh>
    <rPh sb="21" eb="23">
      <t>ドボク</t>
    </rPh>
    <rPh sb="23" eb="25">
      <t>ケンセツ</t>
    </rPh>
    <rPh sb="25" eb="26">
      <t>ヒ</t>
    </rPh>
    <phoneticPr fontId="1"/>
  </si>
  <si>
    <t>単価(円/t)</t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</si>
  <si>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円/t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</si>
  <si>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円/t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</si>
  <si>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t>維持管理費（固形燃料運搬費）</t>
    <rPh sb="0" eb="2">
      <t>イジ</t>
    </rPh>
    <rPh sb="2" eb="5">
      <t>カンリヒ</t>
    </rPh>
    <rPh sb="6" eb="8">
      <t>コケイ</t>
    </rPh>
    <rPh sb="8" eb="10">
      <t>ネンリョウ</t>
    </rPh>
    <rPh sb="10" eb="12">
      <t>ウンパン</t>
    </rPh>
    <rPh sb="12" eb="13">
      <t>ヒ</t>
    </rPh>
    <phoneticPr fontId="1"/>
  </si>
  <si>
    <t>百万円/年</t>
    <rPh sb="0" eb="1">
      <t>ヒャク</t>
    </rPh>
    <rPh sb="1" eb="2">
      <t>マン</t>
    </rPh>
    <rPh sb="2" eb="3">
      <t>エン</t>
    </rPh>
    <rPh sb="4" eb="5">
      <t>ネン</t>
    </rPh>
    <phoneticPr fontId="1"/>
  </si>
  <si>
    <t>固形燃料運搬費（円/t）</t>
    <rPh sb="0" eb="7">
      <t>コケイネンリョウウンパンヒ</t>
    </rPh>
    <rPh sb="8" eb="9">
      <t>エン</t>
    </rPh>
    <phoneticPr fontId="1"/>
  </si>
  <si>
    <t>Y=固形燃料製造量（t/年）×固形燃料運搬費（円/t）</t>
    <rPh sb="2" eb="4">
      <t>コケイ</t>
    </rPh>
    <rPh sb="4" eb="6">
      <t>ネンリョウ</t>
    </rPh>
    <rPh sb="6" eb="8">
      <t>セイゾウ</t>
    </rPh>
    <rPh sb="8" eb="9">
      <t>リョウ</t>
    </rPh>
    <rPh sb="12" eb="13">
      <t>ネン</t>
    </rPh>
    <rPh sb="15" eb="17">
      <t>コケイ</t>
    </rPh>
    <rPh sb="17" eb="19">
      <t>ネンリョウ</t>
    </rPh>
    <rPh sb="19" eb="21">
      <t>ウンパン</t>
    </rPh>
    <rPh sb="21" eb="22">
      <t>ヒ</t>
    </rPh>
    <rPh sb="23" eb="24">
      <t>エン</t>
    </rPh>
    <phoneticPr fontId="1"/>
  </si>
  <si>
    <t>革新的技術建設費年価</t>
    <rPh sb="0" eb="3">
      <t>カクシンテキ</t>
    </rPh>
    <rPh sb="3" eb="5">
      <t>ギジュツ</t>
    </rPh>
    <rPh sb="5" eb="8">
      <t>ケンセツヒ</t>
    </rPh>
    <rPh sb="8" eb="10">
      <t>ネンカ</t>
    </rPh>
    <phoneticPr fontId="1"/>
  </si>
  <si>
    <t>革新的技術維持管理費</t>
    <rPh sb="0" eb="3">
      <t>カクシンテキ</t>
    </rPh>
    <rPh sb="3" eb="5">
      <t>ギジュツ</t>
    </rPh>
    <rPh sb="5" eb="7">
      <t>イジ</t>
    </rPh>
    <rPh sb="7" eb="10">
      <t>カンリヒ</t>
    </rPh>
    <phoneticPr fontId="1"/>
  </si>
  <si>
    <t>汚泥処理費削減効果</t>
    <rPh sb="0" eb="2">
      <t>オデイ</t>
    </rPh>
    <rPh sb="2" eb="4">
      <t>ショリ</t>
    </rPh>
    <rPh sb="4" eb="5">
      <t>ヒ</t>
    </rPh>
    <rPh sb="5" eb="7">
      <t>サクゲン</t>
    </rPh>
    <rPh sb="7" eb="9">
      <t>コウカ</t>
    </rPh>
    <phoneticPr fontId="1"/>
  </si>
  <si>
    <t>費用回収年　（革新的技術導入により製造する固形燃料は無償利用とし、汚泥処理費削減効果で試算）</t>
    <rPh sb="0" eb="2">
      <t>ヒヨウ</t>
    </rPh>
    <rPh sb="2" eb="4">
      <t>カイシュウ</t>
    </rPh>
    <rPh sb="4" eb="5">
      <t>ネン</t>
    </rPh>
    <rPh sb="7" eb="9">
      <t>カクシン</t>
    </rPh>
    <rPh sb="9" eb="10">
      <t>テキ</t>
    </rPh>
    <rPh sb="10" eb="12">
      <t>ギジュツ</t>
    </rPh>
    <rPh sb="12" eb="14">
      <t>ドウニュウ</t>
    </rPh>
    <rPh sb="17" eb="19">
      <t>セイゾウ</t>
    </rPh>
    <rPh sb="21" eb="23">
      <t>コケイ</t>
    </rPh>
    <rPh sb="23" eb="25">
      <t>ネンリョウ</t>
    </rPh>
    <rPh sb="26" eb="28">
      <t>ムショウ</t>
    </rPh>
    <rPh sb="28" eb="30">
      <t>リヨウ</t>
    </rPh>
    <rPh sb="33" eb="35">
      <t>オデイ</t>
    </rPh>
    <rPh sb="35" eb="37">
      <t>ショリ</t>
    </rPh>
    <rPh sb="37" eb="38">
      <t>ヒ</t>
    </rPh>
    <rPh sb="38" eb="40">
      <t>サクゲン</t>
    </rPh>
    <rPh sb="40" eb="42">
      <t>コウカ</t>
    </rPh>
    <rPh sb="43" eb="45">
      <t>シサン</t>
    </rPh>
    <phoneticPr fontId="1"/>
  </si>
  <si>
    <t xml:space="preserve"> a/(c-b）</t>
    <phoneticPr fontId="1"/>
  </si>
  <si>
    <t>⑫</t>
    <phoneticPr fontId="1"/>
  </si>
  <si>
    <t>汚泥投入量(wet-t/日)</t>
    <rPh sb="0" eb="2">
      <t>オデイ</t>
    </rPh>
    <rPh sb="2" eb="4">
      <t>トウニュウ</t>
    </rPh>
    <rPh sb="4" eb="5">
      <t>リョウ</t>
    </rPh>
    <phoneticPr fontId="1"/>
  </si>
  <si>
    <r>
      <t>Y=消費電力量(千Wh/年)×1000×単価（円/kWh)/10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ショウヒ</t>
    </rPh>
    <rPh sb="4" eb="7">
      <t>デンリョクリョウ</t>
    </rPh>
    <rPh sb="8" eb="9">
      <t>セン</t>
    </rPh>
    <rPh sb="12" eb="13">
      <t>ネン</t>
    </rPh>
    <rPh sb="20" eb="22">
      <t>タンカ</t>
    </rPh>
    <rPh sb="23" eb="24">
      <t>エン</t>
    </rPh>
    <phoneticPr fontId="1"/>
  </si>
  <si>
    <t>⑱</t>
    <phoneticPr fontId="1"/>
  </si>
  <si>
    <t>⑲</t>
    <phoneticPr fontId="1"/>
  </si>
  <si>
    <t>⑳</t>
    <phoneticPr fontId="1"/>
  </si>
  <si>
    <t>㉒</t>
    <phoneticPr fontId="1"/>
  </si>
  <si>
    <t>b：㉖</t>
    <phoneticPr fontId="1"/>
  </si>
  <si>
    <r>
      <t>Y=100(kW/wet-t）X×稼働日数(日/年)×換算係数（MJ/kWh）×10</t>
    </r>
    <r>
      <rPr>
        <vertAlign val="superscript"/>
        <sz val="11"/>
        <rFont val="游ゴシック"/>
        <family val="3"/>
        <charset val="128"/>
        <scheme val="minor"/>
      </rPr>
      <t>-3</t>
    </r>
    <rPh sb="17" eb="19">
      <t>カドウ</t>
    </rPh>
    <rPh sb="19" eb="21">
      <t>ニッスウ</t>
    </rPh>
    <rPh sb="22" eb="23">
      <t>ヒ</t>
    </rPh>
    <rPh sb="24" eb="25">
      <t>ネン</t>
    </rPh>
    <rPh sb="27" eb="29">
      <t>カンザン</t>
    </rPh>
    <rPh sb="29" eb="31">
      <t>ケイスウ</t>
    </rPh>
    <phoneticPr fontId="1"/>
  </si>
  <si>
    <t>換算係数
(MJ/kWh)</t>
    <rPh sb="0" eb="2">
      <t>カンサン</t>
    </rPh>
    <rPh sb="2" eb="4">
      <t>ケイスウ</t>
    </rPh>
    <phoneticPr fontId="1"/>
  </si>
  <si>
    <r>
      <t>Y=補助燃料使用量(m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>/h or L/h)×稼働日数(日/年)×24(h/日)×補助燃料エネルギー原単位(MJ/m</t>
    </r>
    <r>
      <rPr>
        <vertAlign val="superscript"/>
        <sz val="10"/>
        <rFont val="游ゴシック"/>
        <family val="3"/>
        <charset val="128"/>
        <scheme val="minor"/>
      </rPr>
      <t>3</t>
    </r>
    <r>
      <rPr>
        <sz val="10"/>
        <rFont val="游ゴシック"/>
        <family val="3"/>
        <charset val="128"/>
        <scheme val="minor"/>
      </rPr>
      <t xml:space="preserve"> or L)×10</t>
    </r>
    <r>
      <rPr>
        <vertAlign val="superscript"/>
        <sz val="10"/>
        <rFont val="游ゴシック"/>
        <family val="3"/>
        <charset val="128"/>
        <scheme val="minor"/>
      </rPr>
      <t>-3</t>
    </r>
    <rPh sb="2" eb="4">
      <t>ホジョ</t>
    </rPh>
    <rPh sb="4" eb="6">
      <t>ネンリョウ</t>
    </rPh>
    <rPh sb="6" eb="9">
      <t>シヨウリョウ</t>
    </rPh>
    <rPh sb="23" eb="25">
      <t>カドウ</t>
    </rPh>
    <rPh sb="25" eb="27">
      <t>ニッスウ</t>
    </rPh>
    <rPh sb="28" eb="29">
      <t>ニチ</t>
    </rPh>
    <rPh sb="30" eb="31">
      <t>ネン</t>
    </rPh>
    <rPh sb="38" eb="39">
      <t>ニチ</t>
    </rPh>
    <rPh sb="41" eb="43">
      <t>ホジョ</t>
    </rPh>
    <rPh sb="43" eb="45">
      <t>ネンリョウ</t>
    </rPh>
    <rPh sb="50" eb="53">
      <t>ゲンタンイ</t>
    </rPh>
    <phoneticPr fontId="1"/>
  </si>
  <si>
    <t>消費電力量
(千kWh/年)</t>
    <rPh sb="0" eb="2">
      <t>ショウヒ</t>
    </rPh>
    <rPh sb="2" eb="5">
      <t>デンリョクリョウ</t>
    </rPh>
    <rPh sb="7" eb="8">
      <t>セン</t>
    </rPh>
    <rPh sb="12" eb="13">
      <t>ネン</t>
    </rPh>
    <phoneticPr fontId="1"/>
  </si>
  <si>
    <r>
      <t>Y=消費電力（千kWh/年）×10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×換算係数（MJ/kWh）×10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ショウヒ</t>
    </rPh>
    <rPh sb="4" eb="6">
      <t>デンリョク</t>
    </rPh>
    <rPh sb="7" eb="8">
      <t>セン</t>
    </rPh>
    <rPh sb="12" eb="13">
      <t>ネン</t>
    </rPh>
    <rPh sb="19" eb="21">
      <t>カンザン</t>
    </rPh>
    <rPh sb="21" eb="23">
      <t>ケイスウ</t>
    </rPh>
    <phoneticPr fontId="1"/>
  </si>
  <si>
    <t>不足エネルギー</t>
    <rPh sb="0" eb="2">
      <t>フソク</t>
    </rPh>
    <phoneticPr fontId="1"/>
  </si>
  <si>
    <t>LPG消費量</t>
    <rPh sb="3" eb="6">
      <t>ショウヒリョウ</t>
    </rPh>
    <phoneticPr fontId="1"/>
  </si>
  <si>
    <t>Y=不足エネルギー（GJ/年）</t>
    <rPh sb="2" eb="4">
      <t>フソク</t>
    </rPh>
    <rPh sb="13" eb="14">
      <t>ネン</t>
    </rPh>
    <phoneticPr fontId="1"/>
  </si>
  <si>
    <t>焼却灰運搬による軽油消費量</t>
    <rPh sb="0" eb="2">
      <t>ショウキャク</t>
    </rPh>
    <rPh sb="2" eb="3">
      <t>ハイ</t>
    </rPh>
    <rPh sb="3" eb="5">
      <t>ウンパン</t>
    </rPh>
    <rPh sb="8" eb="10">
      <t>ケイユ</t>
    </rPh>
    <rPh sb="10" eb="13">
      <t>ショウヒリョウ</t>
    </rPh>
    <phoneticPr fontId="1"/>
  </si>
  <si>
    <t>既設脱水機　電力消費量</t>
    <rPh sb="0" eb="2">
      <t>キセツ</t>
    </rPh>
    <rPh sb="2" eb="5">
      <t>ダッスイキ</t>
    </rPh>
    <rPh sb="6" eb="8">
      <t>デンリョク</t>
    </rPh>
    <rPh sb="8" eb="10">
      <t>ショウヒ</t>
    </rPh>
    <rPh sb="10" eb="11">
      <t>リョウ</t>
    </rPh>
    <phoneticPr fontId="1"/>
  </si>
  <si>
    <t>既設脱水機　高分子凝集剤消費量</t>
    <rPh sb="0" eb="2">
      <t>キセツ</t>
    </rPh>
    <rPh sb="2" eb="5">
      <t>ダッスイキ</t>
    </rPh>
    <rPh sb="6" eb="9">
      <t>コウブンシ</t>
    </rPh>
    <rPh sb="9" eb="11">
      <t>ギョウシュウ</t>
    </rPh>
    <rPh sb="11" eb="12">
      <t>ザイ</t>
    </rPh>
    <rPh sb="12" eb="14">
      <t>ショウヒ</t>
    </rPh>
    <rPh sb="14" eb="15">
      <t>リョウ</t>
    </rPh>
    <phoneticPr fontId="1"/>
  </si>
  <si>
    <t>走行距離
(km/年）</t>
    <rPh sb="0" eb="2">
      <t>ソウコウ</t>
    </rPh>
    <rPh sb="2" eb="4">
      <t>キョリ</t>
    </rPh>
    <rPh sb="9" eb="10">
      <t>ネン</t>
    </rPh>
    <phoneticPr fontId="1"/>
  </si>
  <si>
    <t>③,焼却灰は10t車で運搬</t>
    <rPh sb="2" eb="4">
      <t>ショウキャク</t>
    </rPh>
    <rPh sb="4" eb="5">
      <t>ハイ</t>
    </rPh>
    <rPh sb="9" eb="10">
      <t>シャ</t>
    </rPh>
    <rPh sb="11" eb="13">
      <t>ウンパン</t>
    </rPh>
    <phoneticPr fontId="1"/>
  </si>
  <si>
    <t>軽油使用量（L/年）</t>
    <rPh sb="0" eb="2">
      <t>ケイユ</t>
    </rPh>
    <rPh sb="2" eb="5">
      <t>シヨウリョウ</t>
    </rPh>
    <rPh sb="8" eb="9">
      <t>ネン</t>
    </rPh>
    <phoneticPr fontId="1"/>
  </si>
  <si>
    <t>Y=走行距離（km/年）×10t車燃費（Km/L）</t>
    <rPh sb="2" eb="4">
      <t>ソウコウ</t>
    </rPh>
    <rPh sb="4" eb="6">
      <t>キョリ</t>
    </rPh>
    <rPh sb="10" eb="11">
      <t>ネン</t>
    </rPh>
    <rPh sb="16" eb="17">
      <t>シャ</t>
    </rPh>
    <rPh sb="17" eb="19">
      <t>ネンピ</t>
    </rPh>
    <phoneticPr fontId="1"/>
  </si>
  <si>
    <t>④、10t車燃費：5km/L</t>
    <rPh sb="5" eb="6">
      <t>シャ</t>
    </rPh>
    <rPh sb="6" eb="8">
      <t>ネンピ</t>
    </rPh>
    <phoneticPr fontId="1"/>
  </si>
  <si>
    <r>
      <t>Y=軽油消費量（L/年）×軽油エネルギー原単位（MJ/L）×10</t>
    </r>
    <r>
      <rPr>
        <vertAlign val="superscript"/>
        <sz val="10"/>
        <rFont val="游ゴシック"/>
        <family val="3"/>
        <charset val="128"/>
        <scheme val="minor"/>
      </rPr>
      <t>-3</t>
    </r>
    <rPh sb="2" eb="4">
      <t>ケイユ</t>
    </rPh>
    <rPh sb="4" eb="6">
      <t>ショウヒ</t>
    </rPh>
    <rPh sb="6" eb="7">
      <t>リョウ</t>
    </rPh>
    <rPh sb="10" eb="11">
      <t>ネン</t>
    </rPh>
    <rPh sb="13" eb="15">
      <t>ケイユ</t>
    </rPh>
    <rPh sb="20" eb="21">
      <t>ゲン</t>
    </rPh>
    <rPh sb="21" eb="23">
      <t>タンイ</t>
    </rPh>
    <phoneticPr fontId="1"/>
  </si>
  <si>
    <t>軽油エネルギー原単位（MJ/L）</t>
    <rPh sb="0" eb="2">
      <t>ケイユ</t>
    </rPh>
    <rPh sb="7" eb="8">
      <t>ゲン</t>
    </rPh>
    <rPh sb="8" eb="10">
      <t>タンイ</t>
    </rPh>
    <phoneticPr fontId="1"/>
  </si>
  <si>
    <t>⑤</t>
    <phoneticPr fontId="1"/>
  </si>
  <si>
    <t>⑥</t>
    <phoneticPr fontId="1"/>
  </si>
  <si>
    <r>
      <t>Y=15（kW/wet-t）X×365（日）×換算係数（MJ/kWh）×10</t>
    </r>
    <r>
      <rPr>
        <vertAlign val="superscript"/>
        <sz val="10"/>
        <rFont val="游ゴシック"/>
        <family val="3"/>
        <charset val="128"/>
        <scheme val="minor"/>
      </rPr>
      <t>-3</t>
    </r>
    <rPh sb="20" eb="21">
      <t>ニチ</t>
    </rPh>
    <rPh sb="23" eb="25">
      <t>カンザン</t>
    </rPh>
    <rPh sb="25" eb="27">
      <t>ケイスウ</t>
    </rPh>
    <phoneticPr fontId="1"/>
  </si>
  <si>
    <r>
      <t>Y=0.47（%)×日平均処理汚泥DS量（DS-t/日）×365日×高分子凝集剤エネルギー原単位（MJ/t）×10</t>
    </r>
    <r>
      <rPr>
        <vertAlign val="superscript"/>
        <sz val="10"/>
        <rFont val="游ゴシック"/>
        <family val="3"/>
        <charset val="128"/>
        <scheme val="minor"/>
      </rPr>
      <t>-3</t>
    </r>
    <rPh sb="10" eb="11">
      <t>ニチ</t>
    </rPh>
    <rPh sb="11" eb="13">
      <t>ヘイキン</t>
    </rPh>
    <rPh sb="13" eb="15">
      <t>ショリ</t>
    </rPh>
    <rPh sb="15" eb="17">
      <t>オデイ</t>
    </rPh>
    <rPh sb="19" eb="20">
      <t>リョウ</t>
    </rPh>
    <rPh sb="26" eb="27">
      <t>ヒ</t>
    </rPh>
    <rPh sb="32" eb="33">
      <t>ニチ</t>
    </rPh>
    <rPh sb="34" eb="37">
      <t>コウブンシ</t>
    </rPh>
    <rPh sb="37" eb="39">
      <t>ギョウシュウ</t>
    </rPh>
    <rPh sb="39" eb="40">
      <t>ザイ</t>
    </rPh>
    <rPh sb="45" eb="48">
      <t>ゲンタンイ</t>
    </rPh>
    <phoneticPr fontId="1"/>
  </si>
  <si>
    <t>⑦</t>
    <phoneticPr fontId="1"/>
  </si>
  <si>
    <t>高分子凝集剤エネルギー原単位（MJ/t）</t>
    <rPh sb="0" eb="3">
      <t>コウブンシ</t>
    </rPh>
    <rPh sb="3" eb="5">
      <t>ギョウシュウ</t>
    </rPh>
    <rPh sb="5" eb="6">
      <t>ザイ</t>
    </rPh>
    <rPh sb="11" eb="12">
      <t>ゲン</t>
    </rPh>
    <rPh sb="12" eb="14">
      <t>タンイ</t>
    </rPh>
    <phoneticPr fontId="1"/>
  </si>
  <si>
    <t>ポリ硫酸第二鉄エネルギー原単位（MJ/L）</t>
    <rPh sb="2" eb="4">
      <t>リュウサン</t>
    </rPh>
    <rPh sb="4" eb="6">
      <t>ダイニ</t>
    </rPh>
    <rPh sb="6" eb="7">
      <t>テツ</t>
    </rPh>
    <rPh sb="12" eb="13">
      <t>ゲン</t>
    </rPh>
    <rPh sb="13" eb="15">
      <t>タンイ</t>
    </rPh>
    <phoneticPr fontId="1"/>
  </si>
  <si>
    <t>既設脱水機　電力消費量</t>
    <rPh sb="0" eb="2">
      <t>キセツ</t>
    </rPh>
    <rPh sb="2" eb="5">
      <t>ダッスイキ</t>
    </rPh>
    <rPh sb="6" eb="8">
      <t>デンリョク</t>
    </rPh>
    <rPh sb="8" eb="11">
      <t>ショウヒリョウ</t>
    </rPh>
    <phoneticPr fontId="1"/>
  </si>
  <si>
    <t>既設脱水機　高分子凝集剤消費量</t>
    <rPh sb="0" eb="2">
      <t>キセツ</t>
    </rPh>
    <rPh sb="2" eb="5">
      <t>ダッスイキ</t>
    </rPh>
    <rPh sb="6" eb="9">
      <t>コウブンシ</t>
    </rPh>
    <rPh sb="9" eb="11">
      <t>ギョウシュウ</t>
    </rPh>
    <rPh sb="11" eb="12">
      <t>ザイ</t>
    </rPh>
    <rPh sb="12" eb="15">
      <t>ショウヒリョウ</t>
    </rPh>
    <phoneticPr fontId="1"/>
  </si>
  <si>
    <t>既設脱水機　ポリ硫酸第二鉄消費量</t>
    <rPh sb="0" eb="2">
      <t>キセツ</t>
    </rPh>
    <rPh sb="2" eb="5">
      <t>ダッスイキ</t>
    </rPh>
    <rPh sb="8" eb="10">
      <t>リュウサン</t>
    </rPh>
    <rPh sb="10" eb="12">
      <t>ダイニ</t>
    </rPh>
    <rPh sb="12" eb="13">
      <t>テツ</t>
    </rPh>
    <rPh sb="13" eb="16">
      <t>ショウヒリョウ</t>
    </rPh>
    <phoneticPr fontId="1"/>
  </si>
  <si>
    <t>Y=革新的技術導入後の脱水汚泥量（t/日）×365（日）</t>
    <rPh sb="2" eb="5">
      <t>カクシンテキ</t>
    </rPh>
    <rPh sb="5" eb="7">
      <t>ギジュツ</t>
    </rPh>
    <rPh sb="7" eb="9">
      <t>ドウニュウ</t>
    </rPh>
    <rPh sb="9" eb="10">
      <t>ゴ</t>
    </rPh>
    <rPh sb="11" eb="13">
      <t>ダッスイ</t>
    </rPh>
    <rPh sb="13" eb="15">
      <t>オデイ</t>
    </rPh>
    <rPh sb="15" eb="16">
      <t>リョウ</t>
    </rPh>
    <rPh sb="19" eb="20">
      <t>ヒ</t>
    </rPh>
    <rPh sb="26" eb="27">
      <t>ニチ</t>
    </rPh>
    <phoneticPr fontId="1"/>
  </si>
  <si>
    <t>既設脱水機は、365日/年稼働</t>
    <rPh sb="0" eb="2">
      <t>キセツ</t>
    </rPh>
    <rPh sb="2" eb="5">
      <t>ダッスイキ</t>
    </rPh>
    <rPh sb="10" eb="11">
      <t>ニチ</t>
    </rPh>
    <rPh sb="12" eb="13">
      <t>ネン</t>
    </rPh>
    <rPh sb="13" eb="15">
      <t>カドウ</t>
    </rPh>
    <phoneticPr fontId="1"/>
  </si>
  <si>
    <r>
      <t>Y=15（kW/wet-t）×革新的技術導入後の脱水汚泥量（t/年）×換算係数（MJ/kWh）×10</t>
    </r>
    <r>
      <rPr>
        <vertAlign val="superscript"/>
        <sz val="10"/>
        <rFont val="游ゴシック"/>
        <family val="3"/>
        <charset val="128"/>
        <scheme val="minor"/>
      </rPr>
      <t>-3</t>
    </r>
    <rPh sb="15" eb="18">
      <t>カクシンテキ</t>
    </rPh>
    <rPh sb="18" eb="20">
      <t>ギジュツ</t>
    </rPh>
    <rPh sb="20" eb="22">
      <t>ドウニュウ</t>
    </rPh>
    <rPh sb="22" eb="23">
      <t>ゴ</t>
    </rPh>
    <rPh sb="24" eb="26">
      <t>ダッスイ</t>
    </rPh>
    <rPh sb="26" eb="28">
      <t>オデイ</t>
    </rPh>
    <rPh sb="28" eb="29">
      <t>リョウ</t>
    </rPh>
    <rPh sb="32" eb="33">
      <t>ネン</t>
    </rPh>
    <rPh sb="35" eb="37">
      <t>カンザン</t>
    </rPh>
    <rPh sb="37" eb="39">
      <t>ケイスウ</t>
    </rPh>
    <phoneticPr fontId="1"/>
  </si>
  <si>
    <r>
      <t>Y=（1.71+2.86）Qd×高分子凝集剤エネルギー原単位（MJ/t）×10</t>
    </r>
    <r>
      <rPr>
        <vertAlign val="superscript"/>
        <sz val="10"/>
        <rFont val="游ゴシック"/>
        <family val="3"/>
        <charset val="128"/>
        <scheme val="minor"/>
      </rPr>
      <t>-3</t>
    </r>
    <rPh sb="16" eb="19">
      <t>コウブンシ</t>
    </rPh>
    <rPh sb="19" eb="21">
      <t>ギョウシュウ</t>
    </rPh>
    <rPh sb="21" eb="22">
      <t>ザイ</t>
    </rPh>
    <rPh sb="27" eb="30">
      <t>ゲンタンイ</t>
    </rPh>
    <phoneticPr fontId="1"/>
  </si>
  <si>
    <t>固形燃料運搬による軽油消費量</t>
    <rPh sb="0" eb="2">
      <t>コケイ</t>
    </rPh>
    <rPh sb="2" eb="4">
      <t>ネンリョウ</t>
    </rPh>
    <rPh sb="4" eb="6">
      <t>ウンパン</t>
    </rPh>
    <rPh sb="9" eb="11">
      <t>ケイユ</t>
    </rPh>
    <rPh sb="11" eb="14">
      <t>ショウヒリョウ</t>
    </rPh>
    <phoneticPr fontId="1"/>
  </si>
  <si>
    <t>固形燃料のエネルギー創出量</t>
    <rPh sb="0" eb="2">
      <t>コケイ</t>
    </rPh>
    <rPh sb="2" eb="4">
      <t>ネンリョウ</t>
    </rPh>
    <rPh sb="10" eb="12">
      <t>ソウシュツ</t>
    </rPh>
    <phoneticPr fontId="1"/>
  </si>
  <si>
    <t>固形燃料発熱量（MJ/kg-wet）</t>
    <rPh sb="0" eb="2">
      <t>コケイ</t>
    </rPh>
    <rPh sb="2" eb="4">
      <t>ネンリョウ</t>
    </rPh>
    <rPh sb="4" eb="6">
      <t>ハツネツ</t>
    </rPh>
    <rPh sb="6" eb="7">
      <t>リョウ</t>
    </rPh>
    <phoneticPr fontId="1"/>
  </si>
  <si>
    <r>
      <t>Y=固形燃料製造量（t/年）×10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×固形燃料発熱量（MJ/kg-wet）×10</t>
    </r>
    <r>
      <rPr>
        <vertAlign val="superscript"/>
        <sz val="11"/>
        <rFont val="游ゴシック"/>
        <family val="3"/>
        <charset val="128"/>
        <scheme val="minor"/>
      </rPr>
      <t>-3</t>
    </r>
    <rPh sb="2" eb="4">
      <t>コケイ</t>
    </rPh>
    <rPh sb="4" eb="6">
      <t>ネンリョウ</t>
    </rPh>
    <rPh sb="6" eb="8">
      <t>セイゾウ</t>
    </rPh>
    <rPh sb="8" eb="9">
      <t>リョウ</t>
    </rPh>
    <rPh sb="12" eb="13">
      <t>ネン</t>
    </rPh>
    <rPh sb="19" eb="21">
      <t>コケイ</t>
    </rPh>
    <rPh sb="21" eb="23">
      <t>ネンリョウ</t>
    </rPh>
    <rPh sb="23" eb="25">
      <t>ハツネツ</t>
    </rPh>
    <rPh sb="25" eb="26">
      <t>リョウ</t>
    </rPh>
    <phoneticPr fontId="1"/>
  </si>
  <si>
    <t>⑧：①+②+⑤+⑥+⑦　</t>
    <phoneticPr fontId="1"/>
  </si>
  <si>
    <t>⑨、消費電力：総費用⑬</t>
    <rPh sb="2" eb="4">
      <t>ショウヒ</t>
    </rPh>
    <rPh sb="4" eb="6">
      <t>デンリョク</t>
    </rPh>
    <rPh sb="7" eb="10">
      <t>ソウヒヨウ</t>
    </rPh>
    <phoneticPr fontId="1"/>
  </si>
  <si>
    <t>⑩、Qd：日平均処理汚泥DS量（DS-t/日）</t>
    <rPh sb="5" eb="6">
      <t>ニチ</t>
    </rPh>
    <rPh sb="6" eb="8">
      <t>ヘイキン</t>
    </rPh>
    <rPh sb="8" eb="10">
      <t>ショリ</t>
    </rPh>
    <rPh sb="10" eb="12">
      <t>オデイ</t>
    </rPh>
    <rPh sb="14" eb="15">
      <t>リョウ</t>
    </rPh>
    <rPh sb="21" eb="22">
      <t>ヒ</t>
    </rPh>
    <phoneticPr fontId="1"/>
  </si>
  <si>
    <t>⑪</t>
    <phoneticPr fontId="1"/>
  </si>
  <si>
    <t>⑬：⑩+⑪+⑫</t>
    <phoneticPr fontId="1"/>
  </si>
  <si>
    <t>⑬、バイオガス温度15℃、圧力500mmH2Oとして0℃、1気圧に換算し算定</t>
    <rPh sb="7" eb="9">
      <t>オンド</t>
    </rPh>
    <rPh sb="13" eb="15">
      <t>アツリョク</t>
    </rPh>
    <rPh sb="30" eb="32">
      <t>キアツ</t>
    </rPh>
    <rPh sb="33" eb="35">
      <t>カンサン</t>
    </rPh>
    <rPh sb="36" eb="38">
      <t>サンテイ</t>
    </rPh>
    <phoneticPr fontId="1"/>
  </si>
  <si>
    <t>⑭、Qd：日平均処理汚泥DS量（DS-t/日）</t>
    <phoneticPr fontId="1"/>
  </si>
  <si>
    <t>⑮：⑬+⑭</t>
    <phoneticPr fontId="1"/>
  </si>
  <si>
    <t>⑯：⑬-⑮</t>
    <phoneticPr fontId="1"/>
  </si>
  <si>
    <t>⑰、不足エネルギーはLPG使用で賄う。</t>
    <rPh sb="2" eb="4">
      <t>フソク</t>
    </rPh>
    <rPh sb="13" eb="15">
      <t>シヨウ</t>
    </rPh>
    <rPh sb="16" eb="17">
      <t>マカナ</t>
    </rPh>
    <phoneticPr fontId="1"/>
  </si>
  <si>
    <t>⑱</t>
    <phoneticPr fontId="1"/>
  </si>
  <si>
    <t>⑳</t>
    <phoneticPr fontId="1"/>
  </si>
  <si>
    <t>㉑,固形燃料は10t車で運搬</t>
    <rPh sb="2" eb="4">
      <t>コケイ</t>
    </rPh>
    <rPh sb="4" eb="6">
      <t>ネンリョウ</t>
    </rPh>
    <rPh sb="10" eb="11">
      <t>シャ</t>
    </rPh>
    <rPh sb="12" eb="14">
      <t>ウンパン</t>
    </rPh>
    <phoneticPr fontId="1"/>
  </si>
  <si>
    <t>㉒、10t車燃費：5km/L</t>
    <rPh sb="5" eb="6">
      <t>シャ</t>
    </rPh>
    <rPh sb="6" eb="8">
      <t>ネンピ</t>
    </rPh>
    <phoneticPr fontId="1"/>
  </si>
  <si>
    <t>㉓</t>
    <phoneticPr fontId="1"/>
  </si>
  <si>
    <t>㉔：⑨+⑰+⑱+⑲+⑳+㉓</t>
    <phoneticPr fontId="1"/>
  </si>
  <si>
    <t>㉕</t>
    <phoneticPr fontId="1"/>
  </si>
  <si>
    <t>⑯：{1-(㉔－㉕)/⑧}×100</t>
    <phoneticPr fontId="1"/>
  </si>
  <si>
    <t>維持管理費（人件費）</t>
    <rPh sb="0" eb="2">
      <t>イジ</t>
    </rPh>
    <rPh sb="2" eb="5">
      <t>カンリヒ</t>
    </rPh>
    <rPh sb="6" eb="9">
      <t>ジンケンヒ</t>
    </rPh>
    <phoneticPr fontId="1"/>
  </si>
  <si>
    <t>百万円/年</t>
    <rPh sb="0" eb="3">
      <t>ヒャクマンエン</t>
    </rPh>
    <rPh sb="4" eb="5">
      <t>ネン</t>
    </rPh>
    <phoneticPr fontId="1"/>
  </si>
  <si>
    <t>既設脱水機</t>
    <rPh sb="0" eb="2">
      <t>キセツ</t>
    </rPh>
    <rPh sb="2" eb="5">
      <t>ダッスイキ</t>
    </rPh>
    <phoneticPr fontId="1"/>
  </si>
  <si>
    <t>（電力、燃料、薬品費、補修費、人件費）</t>
    <rPh sb="1" eb="3">
      <t>デンリョク</t>
    </rPh>
    <rPh sb="4" eb="6">
      <t>ネンリョウ</t>
    </rPh>
    <rPh sb="7" eb="9">
      <t>ヤクヒン</t>
    </rPh>
    <rPh sb="9" eb="10">
      <t>ヒ</t>
    </rPh>
    <rPh sb="11" eb="13">
      <t>ホシュウ</t>
    </rPh>
    <rPh sb="13" eb="14">
      <t>ヒ</t>
    </rPh>
    <rPh sb="15" eb="18">
      <t>ジンケンヒ</t>
    </rPh>
    <phoneticPr fontId="1"/>
  </si>
  <si>
    <r>
      <t>Y=0.039(365Qd/0.01）</t>
    </r>
    <r>
      <rPr>
        <vertAlign val="superscript"/>
        <sz val="11"/>
        <color theme="1"/>
        <rFont val="游ゴシック"/>
        <family val="3"/>
        <charset val="128"/>
        <scheme val="minor"/>
      </rPr>
      <t>0.596</t>
    </r>
    <phoneticPr fontId="1"/>
  </si>
  <si>
    <t>a：⑤＋⑥+⑦+⑧</t>
    <phoneticPr fontId="1"/>
  </si>
  <si>
    <r>
      <t>Y=0.039(365Qbd/0.01）</t>
    </r>
    <r>
      <rPr>
        <vertAlign val="superscript"/>
        <sz val="11"/>
        <color theme="1"/>
        <rFont val="游ゴシック"/>
        <family val="3"/>
        <charset val="128"/>
        <scheme val="minor"/>
      </rPr>
      <t>0.596</t>
    </r>
    <phoneticPr fontId="1"/>
  </si>
  <si>
    <t>⑨、Qmd：日最大処理汚泥DS量(DS-t/日)</t>
    <rPh sb="6" eb="7">
      <t>ニチ</t>
    </rPh>
    <rPh sb="7" eb="9">
      <t>サイダイ</t>
    </rPh>
    <rPh sb="9" eb="11">
      <t>ショリ</t>
    </rPh>
    <rPh sb="11" eb="13">
      <t>オデイ</t>
    </rPh>
    <rPh sb="15" eb="16">
      <t>リョウ</t>
    </rPh>
    <rPh sb="22" eb="23">
      <t>ヒ</t>
    </rPh>
    <phoneticPr fontId="1"/>
  </si>
  <si>
    <t>⑩、Qｍd：日最大処理汚泥DS量(DS-t/日)</t>
    <rPh sb="6" eb="7">
      <t>ニチ</t>
    </rPh>
    <rPh sb="7" eb="9">
      <t>サイダイ</t>
    </rPh>
    <phoneticPr fontId="1"/>
  </si>
  <si>
    <t>⑪、Qmd：日最大処理汚泥DS量(DS-t/日)</t>
    <rPh sb="6" eb="7">
      <t>ニチ</t>
    </rPh>
    <rPh sb="7" eb="9">
      <t>サイダイ</t>
    </rPh>
    <phoneticPr fontId="1"/>
  </si>
  <si>
    <t>⑫：⑨＋⑩+⑪</t>
    <phoneticPr fontId="1"/>
  </si>
  <si>
    <t>⑬、i：利子率、n：耐用年数
※工種別に年価を算出し、合計する。</t>
    <rPh sb="23" eb="25">
      <t>サンシュツ</t>
    </rPh>
    <phoneticPr fontId="1"/>
  </si>
  <si>
    <t>⑭、Qd：日平均処理汚泥DS量(DS-t/日)</t>
    <rPh sb="5" eb="6">
      <t>ニチ</t>
    </rPh>
    <rPh sb="6" eb="8">
      <t>ヘイキン</t>
    </rPh>
    <rPh sb="8" eb="10">
      <t>ショリ</t>
    </rPh>
    <rPh sb="10" eb="12">
      <t>オデイ</t>
    </rPh>
    <rPh sb="14" eb="15">
      <t>リョウ</t>
    </rPh>
    <phoneticPr fontId="1"/>
  </si>
  <si>
    <t>㉘、年間処理汚泥量の１％換算（m3/年）で算定。　Qbd：消化汚泥中の固形物量（t/日）、脱水機は365日稼働</t>
    <rPh sb="2" eb="4">
      <t>ネンカン</t>
    </rPh>
    <rPh sb="4" eb="6">
      <t>ショリ</t>
    </rPh>
    <rPh sb="6" eb="8">
      <t>オデイ</t>
    </rPh>
    <rPh sb="8" eb="9">
      <t>リョウ</t>
    </rPh>
    <rPh sb="12" eb="14">
      <t>カンサン</t>
    </rPh>
    <rPh sb="18" eb="19">
      <t>ネン</t>
    </rPh>
    <rPh sb="21" eb="23">
      <t>サンテイ</t>
    </rPh>
    <rPh sb="29" eb="31">
      <t>ショウカ</t>
    </rPh>
    <rPh sb="31" eb="33">
      <t>オデイ</t>
    </rPh>
    <rPh sb="33" eb="34">
      <t>ナカ</t>
    </rPh>
    <rPh sb="35" eb="37">
      <t>コケイ</t>
    </rPh>
    <rPh sb="37" eb="39">
      <t>ブツリョウ</t>
    </rPh>
    <rPh sb="42" eb="43">
      <t>ヒ</t>
    </rPh>
    <rPh sb="45" eb="48">
      <t>ダッスイキ</t>
    </rPh>
    <rPh sb="52" eb="53">
      <t>ニチ</t>
    </rPh>
    <rPh sb="53" eb="55">
      <t>カドウ</t>
    </rPh>
    <phoneticPr fontId="1"/>
  </si>
  <si>
    <t>㉗、固定</t>
    <rPh sb="2" eb="4">
      <t>コテイ</t>
    </rPh>
    <phoneticPr fontId="1"/>
  </si>
  <si>
    <t>Y=26.96Qd</t>
    <phoneticPr fontId="1"/>
  </si>
  <si>
    <t>a：⑫</t>
    <phoneticPr fontId="1"/>
  </si>
  <si>
    <r>
      <t>c：汚泥投入量(wet-t/日）×365（日）×汚泥処理単価（円/ｔ）/10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オデイ</t>
    </rPh>
    <rPh sb="4" eb="6">
      <t>トウニュウ</t>
    </rPh>
    <rPh sb="6" eb="7">
      <t>リョウ</t>
    </rPh>
    <rPh sb="14" eb="15">
      <t>ヒ</t>
    </rPh>
    <rPh sb="21" eb="22">
      <t>ニチ</t>
    </rPh>
    <rPh sb="24" eb="26">
      <t>オデイ</t>
    </rPh>
    <rPh sb="26" eb="28">
      <t>ショリ</t>
    </rPh>
    <rPh sb="28" eb="30">
      <t>タンカ</t>
    </rPh>
    <rPh sb="31" eb="32">
      <t>エン</t>
    </rPh>
    <phoneticPr fontId="1"/>
  </si>
  <si>
    <r>
      <t>Y=26.92Qd×ポリ硫酸第二鉄エネルギー原単位（MJ/t)×10</t>
    </r>
    <r>
      <rPr>
        <vertAlign val="superscript"/>
        <sz val="10"/>
        <rFont val="游ゴシック"/>
        <family val="3"/>
        <charset val="128"/>
        <scheme val="minor"/>
      </rPr>
      <t>-3</t>
    </r>
    <rPh sb="12" eb="16">
      <t>リュウサンダイニ</t>
    </rPh>
    <rPh sb="16" eb="17">
      <t>テツ</t>
    </rPh>
    <rPh sb="22" eb="25">
      <t>ゲンタンイ</t>
    </rPh>
    <phoneticPr fontId="1"/>
  </si>
  <si>
    <r>
      <t>Y=100(kW/wet-t）X×稼働日数(日/年)×0.000555(t-CO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/kWh)</t>
    </r>
    <phoneticPr fontId="1"/>
  </si>
  <si>
    <t>高分子凝集剤消費由来GHG排出量</t>
    <rPh sb="0" eb="3">
      <t>コウブンシ</t>
    </rPh>
    <rPh sb="3" eb="5">
      <t>ギョウシュウ</t>
    </rPh>
    <rPh sb="5" eb="6">
      <t>ザイ</t>
    </rPh>
    <rPh sb="6" eb="8">
      <t>ショウヒ</t>
    </rPh>
    <rPh sb="8" eb="10">
      <t>ユライ</t>
    </rPh>
    <rPh sb="13" eb="15">
      <t>ハイシュツ</t>
    </rPh>
    <rPh sb="15" eb="16">
      <t>リョウ</t>
    </rPh>
    <phoneticPr fontId="1"/>
  </si>
  <si>
    <t>④、X：汚泥投入量（wet-t/日）</t>
    <phoneticPr fontId="1"/>
  </si>
  <si>
    <t>Y=15（kW/wet-t）X×365（日）×0.000555(t-CO2/kWh)</t>
    <rPh sb="20" eb="21">
      <t>ニチ</t>
    </rPh>
    <phoneticPr fontId="1"/>
  </si>
  <si>
    <t>⑲、Qd：日平均処理汚泥DS量（DS-t/日）</t>
    <phoneticPr fontId="1"/>
  </si>
  <si>
    <t>焼却灰の運搬</t>
    <rPh sb="0" eb="2">
      <t>ショウキャク</t>
    </rPh>
    <rPh sb="2" eb="3">
      <t>ハイ</t>
    </rPh>
    <rPh sb="4" eb="6">
      <t>ウンパン</t>
    </rPh>
    <phoneticPr fontId="1"/>
  </si>
  <si>
    <t>走行距離（km/年）：焼却灰運搬による軽油消費量③</t>
    <rPh sb="0" eb="2">
      <t>ソウコウ</t>
    </rPh>
    <rPh sb="2" eb="4">
      <t>キョリ</t>
    </rPh>
    <rPh sb="8" eb="9">
      <t>ネン</t>
    </rPh>
    <rPh sb="11" eb="13">
      <t>ショウキャク</t>
    </rPh>
    <rPh sb="13" eb="14">
      <t>ハイ</t>
    </rPh>
    <rPh sb="14" eb="16">
      <t>ウンパン</t>
    </rPh>
    <rPh sb="19" eb="21">
      <t>ケイユ</t>
    </rPh>
    <rPh sb="21" eb="23">
      <t>ショウヒ</t>
    </rPh>
    <rPh sb="23" eb="24">
      <t>リョウ</t>
    </rPh>
    <phoneticPr fontId="1"/>
  </si>
  <si>
    <t>走行距離由来のCH4</t>
    <rPh sb="0" eb="2">
      <t>ソウコウ</t>
    </rPh>
    <rPh sb="2" eb="4">
      <t>キョリ</t>
    </rPh>
    <rPh sb="4" eb="6">
      <t>ユライ</t>
    </rPh>
    <phoneticPr fontId="1"/>
  </si>
  <si>
    <r>
      <t>t-N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</t>
    </r>
    <rPh sb="6" eb="7">
      <t>ネン</t>
    </rPh>
    <phoneticPr fontId="1"/>
  </si>
  <si>
    <r>
      <t>t-CH</t>
    </r>
    <r>
      <rPr>
        <vertAlign val="subscript"/>
        <sz val="11"/>
        <rFont val="游ゴシック"/>
        <family val="3"/>
        <charset val="128"/>
        <scheme val="minor"/>
      </rPr>
      <t>4</t>
    </r>
    <r>
      <rPr>
        <sz val="11"/>
        <rFont val="游ゴシック"/>
        <family val="3"/>
        <charset val="128"/>
        <scheme val="minor"/>
      </rPr>
      <t>/年</t>
    </r>
    <rPh sb="6" eb="7">
      <t>ネン</t>
    </rPh>
    <phoneticPr fontId="1"/>
  </si>
  <si>
    <r>
      <t>Y=走行距離（km/年）×0.000014（kg-N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O/km）×10</t>
    </r>
    <r>
      <rPr>
        <vertAlign val="superscript"/>
        <sz val="10"/>
        <rFont val="游ゴシック"/>
        <family val="3"/>
        <charset val="128"/>
        <scheme val="minor"/>
      </rPr>
      <t>-3</t>
    </r>
    <rPh sb="2" eb="4">
      <t>ソウコウ</t>
    </rPh>
    <rPh sb="4" eb="6">
      <t>キョリ</t>
    </rPh>
    <rPh sb="10" eb="11">
      <t>ネン</t>
    </rPh>
    <phoneticPr fontId="1"/>
  </si>
  <si>
    <r>
      <t>Y=走行距離（km/年）×0.000015（kg-CH</t>
    </r>
    <r>
      <rPr>
        <vertAlign val="subscript"/>
        <sz val="10"/>
        <rFont val="游ゴシック"/>
        <family val="3"/>
        <charset val="128"/>
        <scheme val="minor"/>
      </rPr>
      <t>4</t>
    </r>
    <r>
      <rPr>
        <sz val="10"/>
        <rFont val="游ゴシック"/>
        <family val="3"/>
        <charset val="128"/>
        <scheme val="minor"/>
      </rPr>
      <t>/km）×10</t>
    </r>
    <r>
      <rPr>
        <vertAlign val="superscript"/>
        <sz val="10"/>
        <rFont val="游ゴシック"/>
        <family val="3"/>
        <charset val="128"/>
        <scheme val="minor"/>
      </rPr>
      <t>-3</t>
    </r>
    <rPh sb="2" eb="4">
      <t>ソウコウ</t>
    </rPh>
    <rPh sb="4" eb="6">
      <t>キョリ</t>
    </rPh>
    <rPh sb="10" eb="11">
      <t>ネン</t>
    </rPh>
    <phoneticPr fontId="1"/>
  </si>
  <si>
    <t>走行距離由来GHG排出量</t>
    <rPh sb="0" eb="2">
      <t>ソウコウ</t>
    </rPh>
    <rPh sb="2" eb="4">
      <t>キョリ</t>
    </rPh>
    <rPh sb="4" eb="6">
      <t>ユライ</t>
    </rPh>
    <rPh sb="9" eb="11">
      <t>ハイシュツ</t>
    </rPh>
    <rPh sb="11" eb="12">
      <t>リョウ</t>
    </rPh>
    <phoneticPr fontId="1"/>
  </si>
  <si>
    <t>軽油由来GHG排出量</t>
    <rPh sb="0" eb="2">
      <t>ケイユ</t>
    </rPh>
    <rPh sb="2" eb="4">
      <t>ユライ</t>
    </rPh>
    <rPh sb="7" eb="9">
      <t>ハイシュツ</t>
    </rPh>
    <rPh sb="9" eb="10">
      <t>リョウ</t>
    </rPh>
    <phoneticPr fontId="1"/>
  </si>
  <si>
    <t>⑦、軽油使用量（L/年）：焼却灰運搬による軽油消費量④</t>
    <rPh sb="2" eb="4">
      <t>ケイユ</t>
    </rPh>
    <rPh sb="4" eb="7">
      <t>シヨウリョウ</t>
    </rPh>
    <rPh sb="10" eb="11">
      <t>ネン</t>
    </rPh>
    <rPh sb="13" eb="15">
      <t>ショウキャク</t>
    </rPh>
    <rPh sb="15" eb="16">
      <t>ハイ</t>
    </rPh>
    <rPh sb="16" eb="18">
      <t>ウンパン</t>
    </rPh>
    <rPh sb="21" eb="23">
      <t>ケイユ</t>
    </rPh>
    <rPh sb="23" eb="25">
      <t>ショウヒ</t>
    </rPh>
    <rPh sb="25" eb="26">
      <t>リョウ</t>
    </rPh>
    <phoneticPr fontId="1"/>
  </si>
  <si>
    <t>⑧：①＋②+③+④+⑤+⑥+⑦</t>
    <phoneticPr fontId="1"/>
  </si>
  <si>
    <r>
      <t>Y=消費電力量(千kWh/年)×0.555(t-CO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/千kWh)</t>
    </r>
    <rPh sb="2" eb="4">
      <t>ショウヒ</t>
    </rPh>
    <rPh sb="4" eb="6">
      <t>デンリョク</t>
    </rPh>
    <rPh sb="6" eb="7">
      <t>リョウ</t>
    </rPh>
    <rPh sb="8" eb="9">
      <t>セン</t>
    </rPh>
    <rPh sb="13" eb="14">
      <t>ネン</t>
    </rPh>
    <rPh sb="28" eb="29">
      <t>セン</t>
    </rPh>
    <phoneticPr fontId="1"/>
  </si>
  <si>
    <t>LPG消費由来GHG排出量</t>
    <rPh sb="3" eb="5">
      <t>ショウヒ</t>
    </rPh>
    <rPh sb="5" eb="7">
      <t>ユライ</t>
    </rPh>
    <rPh sb="10" eb="12">
      <t>ハイシュツ</t>
    </rPh>
    <rPh sb="12" eb="13">
      <t>リョウ</t>
    </rPh>
    <phoneticPr fontId="1"/>
  </si>
  <si>
    <r>
      <t>Y=LPG消費量（t/年）×3（t-CO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rPh sb="5" eb="7">
      <t>ショウヒ</t>
    </rPh>
    <rPh sb="7" eb="8">
      <t>リョウ</t>
    </rPh>
    <rPh sb="11" eb="12">
      <t>ネン</t>
    </rPh>
    <phoneticPr fontId="1"/>
  </si>
  <si>
    <t>⑩、LPG消費量（t/年）：総費用⑯</t>
    <rPh sb="5" eb="8">
      <t>ショウヒリョウ</t>
    </rPh>
    <rPh sb="11" eb="12">
      <t>ネン</t>
    </rPh>
    <rPh sb="14" eb="17">
      <t>ソウヒヨウ</t>
    </rPh>
    <phoneticPr fontId="1"/>
  </si>
  <si>
    <t>⑪、高分子凝集剤使用量（t/年）：総費用の高分子凝集剤（t/年）</t>
    <rPh sb="2" eb="5">
      <t>コウブンシ</t>
    </rPh>
    <rPh sb="5" eb="7">
      <t>ギョウシュウ</t>
    </rPh>
    <rPh sb="7" eb="8">
      <t>ザイ</t>
    </rPh>
    <rPh sb="8" eb="10">
      <t>シヨウ</t>
    </rPh>
    <rPh sb="10" eb="11">
      <t>リョウ</t>
    </rPh>
    <rPh sb="14" eb="15">
      <t>ネン</t>
    </rPh>
    <rPh sb="17" eb="20">
      <t>ソウヒヨウ</t>
    </rPh>
    <rPh sb="21" eb="24">
      <t>コウブンシ</t>
    </rPh>
    <rPh sb="24" eb="26">
      <t>ギョウシュウ</t>
    </rPh>
    <rPh sb="26" eb="27">
      <t>ザイ</t>
    </rPh>
    <rPh sb="30" eb="31">
      <t>ネン</t>
    </rPh>
    <phoneticPr fontId="1"/>
  </si>
  <si>
    <t>上水由来GHG排出量</t>
    <rPh sb="0" eb="2">
      <t>ジョウスイ</t>
    </rPh>
    <rPh sb="2" eb="4">
      <t>ユライ</t>
    </rPh>
    <rPh sb="7" eb="9">
      <t>ハイシュツ</t>
    </rPh>
    <rPh sb="9" eb="10">
      <t>リョウ</t>
    </rPh>
    <phoneticPr fontId="1"/>
  </si>
  <si>
    <r>
      <t>Y=上水使用量（t/年）×0.002(t-CO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rPh sb="2" eb="4">
      <t>ジョウスイ</t>
    </rPh>
    <rPh sb="4" eb="6">
      <t>シヨウ</t>
    </rPh>
    <rPh sb="6" eb="7">
      <t>リョウ</t>
    </rPh>
    <rPh sb="10" eb="11">
      <t>ネン</t>
    </rPh>
    <phoneticPr fontId="1"/>
  </si>
  <si>
    <r>
      <t>上水量（m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/年）</t>
    </r>
    <rPh sb="0" eb="2">
      <t>ジョウスイ</t>
    </rPh>
    <rPh sb="2" eb="3">
      <t>リョウ</t>
    </rPh>
    <rPh sb="7" eb="8">
      <t>ネン</t>
    </rPh>
    <phoneticPr fontId="1"/>
  </si>
  <si>
    <r>
      <t>Y=上水使用量（m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/年）×単価（円/m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）/10</t>
    </r>
    <r>
      <rPr>
        <vertAlign val="superscript"/>
        <sz val="11"/>
        <color theme="1"/>
        <rFont val="游ゴシック"/>
        <family val="3"/>
        <charset val="128"/>
        <scheme val="minor"/>
      </rPr>
      <t>6</t>
    </r>
    <rPh sb="2" eb="4">
      <t>ジョウスイ</t>
    </rPh>
    <rPh sb="4" eb="7">
      <t>シヨウリョウ</t>
    </rPh>
    <rPh sb="11" eb="12">
      <t>ネン</t>
    </rPh>
    <rPh sb="14" eb="16">
      <t>タンカ</t>
    </rPh>
    <rPh sb="17" eb="18">
      <t>エン</t>
    </rPh>
    <phoneticPr fontId="1"/>
  </si>
  <si>
    <r>
      <t>⑫、上水使用量（m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/年）：総費用の上水使用量（m</t>
    </r>
    <r>
      <rPr>
        <vertAlign val="superscript"/>
        <sz val="11"/>
        <rFont val="游ゴシック"/>
        <family val="3"/>
        <charset val="128"/>
        <scheme val="minor"/>
      </rPr>
      <t>3</t>
    </r>
    <r>
      <rPr>
        <sz val="11"/>
        <rFont val="游ゴシック"/>
        <family val="3"/>
        <charset val="128"/>
        <scheme val="minor"/>
      </rPr>
      <t>/年）</t>
    </r>
    <rPh sb="2" eb="4">
      <t>ジョウスイ</t>
    </rPh>
    <rPh sb="4" eb="7">
      <t>シヨウリョウ</t>
    </rPh>
    <rPh sb="11" eb="12">
      <t>ネン</t>
    </rPh>
    <rPh sb="14" eb="17">
      <t>ソウヒヨウ</t>
    </rPh>
    <rPh sb="18" eb="20">
      <t>ジョウスイ</t>
    </rPh>
    <rPh sb="20" eb="23">
      <t>シヨウリョウ</t>
    </rPh>
    <rPh sb="27" eb="28">
      <t>ネン</t>
    </rPh>
    <phoneticPr fontId="1"/>
  </si>
  <si>
    <r>
      <t>走行距離由来のN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</t>
    </r>
    <rPh sb="0" eb="2">
      <t>ソウコウ</t>
    </rPh>
    <rPh sb="2" eb="4">
      <t>キョリ</t>
    </rPh>
    <rPh sb="4" eb="6">
      <t>ユライ</t>
    </rPh>
    <phoneticPr fontId="1"/>
  </si>
  <si>
    <r>
      <t>kg-N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O/年</t>
    </r>
    <rPh sb="7" eb="8">
      <t>ネン</t>
    </rPh>
    <phoneticPr fontId="1"/>
  </si>
  <si>
    <t>Y=0.0237Qd×稼働日数（日/年）</t>
    <rPh sb="11" eb="13">
      <t>カドウ</t>
    </rPh>
    <rPh sb="13" eb="15">
      <t>ニッスウ</t>
    </rPh>
    <rPh sb="16" eb="17">
      <t>ヒ</t>
    </rPh>
    <rPh sb="18" eb="19">
      <t>ネン</t>
    </rPh>
    <phoneticPr fontId="1"/>
  </si>
  <si>
    <t>燃料製造時のGHG排出量</t>
    <rPh sb="0" eb="2">
      <t>ネンリョウ</t>
    </rPh>
    <rPh sb="2" eb="4">
      <t>セイゾウ</t>
    </rPh>
    <rPh sb="4" eb="5">
      <t>ジ</t>
    </rPh>
    <rPh sb="9" eb="11">
      <t>ハイシュツ</t>
    </rPh>
    <rPh sb="11" eb="12">
      <t>リョウ</t>
    </rPh>
    <phoneticPr fontId="1"/>
  </si>
  <si>
    <r>
      <t>燃料製造時のN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O</t>
    </r>
    <rPh sb="0" eb="2">
      <t>ネンリョウ</t>
    </rPh>
    <rPh sb="2" eb="4">
      <t>セイゾウ</t>
    </rPh>
    <rPh sb="4" eb="5">
      <t>ジ</t>
    </rPh>
    <phoneticPr fontId="1"/>
  </si>
  <si>
    <r>
      <t>Y=燃料製造時のN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O×310×10</t>
    </r>
    <r>
      <rPr>
        <vertAlign val="superscript"/>
        <sz val="10"/>
        <rFont val="游ゴシック"/>
        <family val="3"/>
        <charset val="128"/>
        <scheme val="minor"/>
      </rPr>
      <t>-3</t>
    </r>
    <rPh sb="2" eb="4">
      <t>ネンリョウ</t>
    </rPh>
    <rPh sb="4" eb="6">
      <t>セイゾウ</t>
    </rPh>
    <rPh sb="6" eb="7">
      <t>ジ</t>
    </rPh>
    <phoneticPr fontId="1"/>
  </si>
  <si>
    <t>Qd:日平均処理汚泥DS量（DS-t/日）</t>
    <rPh sb="3" eb="4">
      <t>ニチ</t>
    </rPh>
    <rPh sb="4" eb="6">
      <t>ヘイキン</t>
    </rPh>
    <rPh sb="6" eb="8">
      <t>ショリ</t>
    </rPh>
    <rPh sb="8" eb="10">
      <t>オデイ</t>
    </rPh>
    <rPh sb="12" eb="13">
      <t>リョウ</t>
    </rPh>
    <rPh sb="19" eb="20">
      <t>ヒ</t>
    </rPh>
    <phoneticPr fontId="1"/>
  </si>
  <si>
    <t>ポリ硫酸第二鉄消費由来GHG排出量</t>
    <rPh sb="2" eb="4">
      <t>リュウサン</t>
    </rPh>
    <rPh sb="4" eb="6">
      <t>ダイニ</t>
    </rPh>
    <rPh sb="6" eb="7">
      <t>テツ</t>
    </rPh>
    <rPh sb="7" eb="9">
      <t>ショウヒ</t>
    </rPh>
    <rPh sb="9" eb="11">
      <t>ユライ</t>
    </rPh>
    <rPh sb="14" eb="16">
      <t>ハイシュツ</t>
    </rPh>
    <rPh sb="16" eb="17">
      <t>リョウ</t>
    </rPh>
    <phoneticPr fontId="1"/>
  </si>
  <si>
    <t>固形燃料の運搬</t>
    <rPh sb="0" eb="2">
      <t>コケイ</t>
    </rPh>
    <rPh sb="2" eb="4">
      <t>ネンリョウ</t>
    </rPh>
    <rPh sb="5" eb="7">
      <t>ウンパン</t>
    </rPh>
    <phoneticPr fontId="1"/>
  </si>
  <si>
    <t>走行距離（km/年）：固形燃料運搬による軽油消費量㉑</t>
    <rPh sb="0" eb="2">
      <t>ソウコウ</t>
    </rPh>
    <rPh sb="2" eb="4">
      <t>キョリ</t>
    </rPh>
    <rPh sb="8" eb="9">
      <t>ネン</t>
    </rPh>
    <rPh sb="11" eb="13">
      <t>コケイ</t>
    </rPh>
    <rPh sb="13" eb="15">
      <t>ネンリョウ</t>
    </rPh>
    <rPh sb="15" eb="17">
      <t>ウンパン</t>
    </rPh>
    <rPh sb="20" eb="22">
      <t>ケイユ</t>
    </rPh>
    <rPh sb="22" eb="24">
      <t>ショウヒ</t>
    </rPh>
    <rPh sb="24" eb="25">
      <t>リョウ</t>
    </rPh>
    <phoneticPr fontId="1"/>
  </si>
  <si>
    <r>
      <t>Y=走行距離由来のN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O×310+走行距離由来のCH</t>
    </r>
    <r>
      <rPr>
        <vertAlign val="subscript"/>
        <sz val="10"/>
        <rFont val="游ゴシック"/>
        <family val="3"/>
        <charset val="128"/>
        <scheme val="minor"/>
      </rPr>
      <t>4</t>
    </r>
    <r>
      <rPr>
        <sz val="10"/>
        <rFont val="游ゴシック"/>
        <family val="3"/>
        <charset val="128"/>
        <scheme val="minor"/>
      </rPr>
      <t>×21</t>
    </r>
    <rPh sb="2" eb="4">
      <t>ソウコウ</t>
    </rPh>
    <rPh sb="4" eb="6">
      <t>キョリ</t>
    </rPh>
    <rPh sb="6" eb="8">
      <t>ユライ</t>
    </rPh>
    <rPh sb="17" eb="19">
      <t>ソウコウ</t>
    </rPh>
    <rPh sb="19" eb="21">
      <t>キョリ</t>
    </rPh>
    <rPh sb="21" eb="23">
      <t>ユライ</t>
    </rPh>
    <phoneticPr fontId="1"/>
  </si>
  <si>
    <t>⑲、走行距離（km/年）：固形燃料運搬による軽油消費量㉒</t>
    <rPh sb="2" eb="4">
      <t>ソウコウ</t>
    </rPh>
    <rPh sb="4" eb="6">
      <t>キョリ</t>
    </rPh>
    <rPh sb="10" eb="11">
      <t>ネン</t>
    </rPh>
    <rPh sb="13" eb="15">
      <t>コケイ</t>
    </rPh>
    <rPh sb="15" eb="17">
      <t>ネンリョウ</t>
    </rPh>
    <rPh sb="17" eb="19">
      <t>ウンパン</t>
    </rPh>
    <rPh sb="22" eb="24">
      <t>ケイユ</t>
    </rPh>
    <rPh sb="24" eb="26">
      <t>ショウヒ</t>
    </rPh>
    <rPh sb="26" eb="27">
      <t>リョウ</t>
    </rPh>
    <phoneticPr fontId="1"/>
  </si>
  <si>
    <t>固形燃料利用によるGHG削減量</t>
    <rPh sb="0" eb="2">
      <t>コケイ</t>
    </rPh>
    <rPh sb="2" eb="4">
      <t>ネンリョウ</t>
    </rPh>
    <rPh sb="4" eb="6">
      <t>リヨウ</t>
    </rPh>
    <rPh sb="12" eb="14">
      <t>サクゲン</t>
    </rPh>
    <rPh sb="14" eb="15">
      <t>リョウ</t>
    </rPh>
    <phoneticPr fontId="1"/>
  </si>
  <si>
    <t>⑳：⑨+⑩+⑪+⑫+⑬+⑭+⑮+⑯+⑰+⑱+⑲</t>
    <phoneticPr fontId="1"/>
  </si>
  <si>
    <t>革新的技術の建設費</t>
    <rPh sb="0" eb="2">
      <t>カクシン</t>
    </rPh>
    <rPh sb="2" eb="3">
      <t>テキ</t>
    </rPh>
    <rPh sb="3" eb="5">
      <t>ギジュツ</t>
    </rPh>
    <rPh sb="6" eb="9">
      <t>ケンセツヒ</t>
    </rPh>
    <phoneticPr fontId="1"/>
  </si>
  <si>
    <t>汚泥処理単価（運搬費除く）（円/ｔ)</t>
    <rPh sb="0" eb="2">
      <t>オデイ</t>
    </rPh>
    <rPh sb="2" eb="4">
      <t>ショリ</t>
    </rPh>
    <rPh sb="4" eb="6">
      <t>タンカ</t>
    </rPh>
    <rPh sb="7" eb="9">
      <t>ウンパン</t>
    </rPh>
    <rPh sb="9" eb="10">
      <t>ヒ</t>
    </rPh>
    <rPh sb="10" eb="11">
      <t>ノゾ</t>
    </rPh>
    <rPh sb="14" eb="15">
      <t>エン</t>
    </rPh>
    <phoneticPr fontId="1"/>
  </si>
  <si>
    <r>
      <t>⑧、年間処理汚泥量の１％換算（m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/年）で算定。　Qd：日平均処理汚泥量（DS-t/日）、脱水機は365日稼働</t>
    </r>
    <rPh sb="2" eb="4">
      <t>ネンカン</t>
    </rPh>
    <rPh sb="4" eb="6">
      <t>ショリ</t>
    </rPh>
    <rPh sb="6" eb="8">
      <t>オデイ</t>
    </rPh>
    <rPh sb="8" eb="9">
      <t>リョウ</t>
    </rPh>
    <rPh sb="12" eb="14">
      <t>カンサン</t>
    </rPh>
    <rPh sb="18" eb="19">
      <t>ネン</t>
    </rPh>
    <rPh sb="21" eb="23">
      <t>サンテイ</t>
    </rPh>
    <rPh sb="28" eb="29">
      <t>ニチ</t>
    </rPh>
    <rPh sb="29" eb="36">
      <t>ヘイキンショリオデイリョウ</t>
    </rPh>
    <rPh sb="42" eb="43">
      <t>ヒ</t>
    </rPh>
    <rPh sb="45" eb="48">
      <t>ダッスイキ</t>
    </rPh>
    <rPh sb="52" eb="53">
      <t>ニチ</t>
    </rPh>
    <rPh sb="53" eb="55">
      <t>カドウ</t>
    </rPh>
    <phoneticPr fontId="1"/>
  </si>
  <si>
    <t>⑯、不足エネルギー：エネルギー削減効果⑯</t>
    <rPh sb="2" eb="4">
      <t>フソク</t>
    </rPh>
    <rPh sb="15" eb="17">
      <t>サクゲン</t>
    </rPh>
    <rPh sb="17" eb="19">
      <t>コウカ</t>
    </rPh>
    <phoneticPr fontId="1"/>
  </si>
  <si>
    <t>㉙：⑮＋⑰+⑱+⑲+⑳+㉑+㉒+㉓+㉔+㉕+㉖+㉗+㉘</t>
    <phoneticPr fontId="1"/>
  </si>
  <si>
    <t>㉚：⑬</t>
    <phoneticPr fontId="1"/>
  </si>
  <si>
    <t>㉛：㉖</t>
    <phoneticPr fontId="1"/>
  </si>
  <si>
    <t>b：㉚＋㉛</t>
    <phoneticPr fontId="1"/>
  </si>
  <si>
    <t>Y=62.9(km/日）×２（往復/日）×日平均処理汚泥DS量（DS-t/日）×稼働日数（日/年）×焼却灰発生率（％）/10（ｔ）</t>
    <rPh sb="10" eb="11">
      <t>ヒ</t>
    </rPh>
    <rPh sb="15" eb="17">
      <t>オウフク</t>
    </rPh>
    <rPh sb="18" eb="19">
      <t>ヒ</t>
    </rPh>
    <rPh sb="21" eb="22">
      <t>ニチ</t>
    </rPh>
    <rPh sb="22" eb="24">
      <t>ヘイキン</t>
    </rPh>
    <rPh sb="24" eb="26">
      <t>ショリ</t>
    </rPh>
    <rPh sb="26" eb="28">
      <t>オデイ</t>
    </rPh>
    <rPh sb="30" eb="31">
      <t>リョウ</t>
    </rPh>
    <rPh sb="37" eb="38">
      <t>ヒ</t>
    </rPh>
    <rPh sb="40" eb="42">
      <t>カドウ</t>
    </rPh>
    <rPh sb="42" eb="44">
      <t>ニッスウ</t>
    </rPh>
    <rPh sb="45" eb="46">
      <t>ヒ</t>
    </rPh>
    <rPh sb="47" eb="48">
      <t>ネン</t>
    </rPh>
    <rPh sb="50" eb="52">
      <t>ショウキャク</t>
    </rPh>
    <rPh sb="52" eb="53">
      <t>ハイ</t>
    </rPh>
    <rPh sb="53" eb="55">
      <t>ハッセイ</t>
    </rPh>
    <rPh sb="55" eb="56">
      <t>リツ</t>
    </rPh>
    <phoneticPr fontId="1"/>
  </si>
  <si>
    <t>Y=62.9(km/日）×２（往復/日）×固形燃料製造量（t/年）/10（ｔ）</t>
    <rPh sb="10" eb="11">
      <t>ヒ</t>
    </rPh>
    <rPh sb="15" eb="17">
      <t>オウフク</t>
    </rPh>
    <rPh sb="18" eb="19">
      <t>ヒ</t>
    </rPh>
    <rPh sb="21" eb="23">
      <t>コケイ</t>
    </rPh>
    <rPh sb="23" eb="25">
      <t>ネンリョウ</t>
    </rPh>
    <rPh sb="25" eb="27">
      <t>セイゾウ</t>
    </rPh>
    <rPh sb="27" eb="28">
      <t>リョウ</t>
    </rPh>
    <rPh sb="31" eb="32">
      <t>ネン</t>
    </rPh>
    <phoneticPr fontId="1"/>
  </si>
  <si>
    <r>
      <t>Y=軽油使用量（L/年）×2.58（t-CO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/kL）</t>
    </r>
    <rPh sb="2" eb="4">
      <t>ケイユ</t>
    </rPh>
    <rPh sb="4" eb="7">
      <t>シヨウリョウ</t>
    </rPh>
    <rPh sb="10" eb="11">
      <t>ネン</t>
    </rPh>
    <phoneticPr fontId="1"/>
  </si>
  <si>
    <r>
      <t>Y=0.47（%)×日平均処理汚泥DS量（DS-t/日）×365日×6.5(t-CO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phoneticPr fontId="1"/>
  </si>
  <si>
    <r>
      <t>Y=0.47（%)×日平均処理汚泥DS量（DS-t/日）×稼働日数（日/年）×6.5(t-CO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rPh sb="29" eb="31">
      <t>カドウ</t>
    </rPh>
    <rPh sb="31" eb="33">
      <t>ニッスウ</t>
    </rPh>
    <rPh sb="34" eb="35">
      <t>ヒ</t>
    </rPh>
    <rPh sb="36" eb="37">
      <t>ネン</t>
    </rPh>
    <phoneticPr fontId="1"/>
  </si>
  <si>
    <r>
      <t>Y=15（kW/wet-t）×革新的技術導入後の脱水汚泥量（t/年）×0.00055（t-CO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/kWh）</t>
    </r>
    <rPh sb="15" eb="18">
      <t>カクシンテキ</t>
    </rPh>
    <rPh sb="18" eb="20">
      <t>ギジュツ</t>
    </rPh>
    <rPh sb="20" eb="22">
      <t>ドウニュウ</t>
    </rPh>
    <rPh sb="22" eb="23">
      <t>ゴ</t>
    </rPh>
    <rPh sb="24" eb="26">
      <t>ダッスイ</t>
    </rPh>
    <rPh sb="26" eb="28">
      <t>オデイ</t>
    </rPh>
    <rPh sb="28" eb="29">
      <t>リョウ</t>
    </rPh>
    <rPh sb="32" eb="33">
      <t>ネン</t>
    </rPh>
    <phoneticPr fontId="1"/>
  </si>
  <si>
    <r>
      <t>Y=1.56（%)×消化汚泥中の固形物量（t/日）×365日×6.5(t-CO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rPh sb="10" eb="12">
      <t>ショウカ</t>
    </rPh>
    <rPh sb="12" eb="14">
      <t>オデイ</t>
    </rPh>
    <rPh sb="14" eb="15">
      <t>ナカ</t>
    </rPh>
    <rPh sb="16" eb="18">
      <t>コケイ</t>
    </rPh>
    <rPh sb="18" eb="20">
      <t>ブツリョウ</t>
    </rPh>
    <phoneticPr fontId="1"/>
  </si>
  <si>
    <r>
      <t>Y=14.3（%)×消化汚泥中の固形物量（t/日）×365日×0.0308(t-CO</t>
    </r>
    <r>
      <rPr>
        <vertAlign val="subscript"/>
        <sz val="10"/>
        <rFont val="游ゴシック"/>
        <family val="3"/>
        <charset val="128"/>
        <scheme val="minor"/>
      </rPr>
      <t>2</t>
    </r>
    <r>
      <rPr>
        <sz val="10"/>
        <rFont val="游ゴシック"/>
        <family val="3"/>
        <charset val="128"/>
        <scheme val="minor"/>
      </rPr>
      <t>/t）</t>
    </r>
    <rPh sb="10" eb="12">
      <t>ショウカ</t>
    </rPh>
    <rPh sb="12" eb="14">
      <t>オデイ</t>
    </rPh>
    <rPh sb="14" eb="15">
      <t>ナカ</t>
    </rPh>
    <rPh sb="16" eb="18">
      <t>コケイ</t>
    </rPh>
    <rPh sb="18" eb="20">
      <t>ブツリョウ</t>
    </rPh>
    <phoneticPr fontId="1"/>
  </si>
  <si>
    <t>Y=ー固形燃料のエネルギー創出量（GJ/年）/28（GJ/ｔ-石炭発熱量）×2.41（t-CO2/ｔ）</t>
    <rPh sb="3" eb="5">
      <t>コケイ</t>
    </rPh>
    <rPh sb="5" eb="7">
      <t>ネンリョウ</t>
    </rPh>
    <rPh sb="13" eb="15">
      <t>ソウシュツ</t>
    </rPh>
    <rPh sb="15" eb="16">
      <t>リョウ</t>
    </rPh>
    <rPh sb="20" eb="21">
      <t>ネン</t>
    </rPh>
    <phoneticPr fontId="1"/>
  </si>
  <si>
    <t>’2020.9.25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</si>
</sst>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3" formatCode="0.0"/>
    <numFmt numFmtId="184" formatCode="#,##0.000000_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vertAlign val="subscript"/>
      <sz val="1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9" fontId="0" fillId="0" borderId="1" xfId="0" applyNumberFormat="1" applyFill="1" applyBorder="1" applyAlignment="1">
      <alignment horizontal="center" vertical="center"/>
    </xf>
    <xf numFmtId="178" fontId="7" fillId="4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179" fontId="0" fillId="2" borderId="0" xfId="0" applyNumberFormat="1" applyFill="1" applyBorder="1" applyAlignment="1">
      <alignment horizontal="left" vertical="center"/>
    </xf>
    <xf numFmtId="179" fontId="0" fillId="2" borderId="9" xfId="0" applyNumberFormat="1" applyFill="1" applyBorder="1" applyAlignment="1">
      <alignment horizontal="left" vertical="center"/>
    </xf>
    <xf numFmtId="181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9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7" fillId="3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5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9" fontId="0" fillId="2" borderId="2" xfId="0" applyNumberFormat="1" applyFill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/>
    </xf>
    <xf numFmtId="179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181" fontId="7" fillId="0" borderId="5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0" xfId="0" quotePrefix="1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6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49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148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23217" y="120463"/>
          <a:ext cx="3072279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</xdr:grpSp>
    <xdr:clientData/>
  </xdr:twoCellAnchor>
  <xdr:oneCellAnchor>
    <xdr:from>
      <xdr:col>5</xdr:col>
      <xdr:colOff>2057400</xdr:colOff>
      <xdr:row>29</xdr:row>
      <xdr:rowOff>152400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83534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2057400</xdr:colOff>
      <xdr:row>29</xdr:row>
      <xdr:rowOff>152400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83534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192"/>
  <sheetViews>
    <sheetView showGridLines="0" tabSelected="1" view="pageBreakPreview" topLeftCell="B1" zoomScale="70" zoomScaleNormal="85" zoomScaleSheetLayoutView="70" workbookViewId="0">
      <selection activeCell="H3" sqref="H3"/>
    </sheetView>
  </sheetViews>
  <sheetFormatPr defaultColWidth="9" defaultRowHeight="18"/>
  <cols>
    <col min="1" max="1" width="1.58203125" style="129" customWidth="1"/>
    <col min="2" max="2" width="11" style="129" customWidth="1"/>
    <col min="3" max="3" width="19.25" style="129" bestFit="1" customWidth="1"/>
    <col min="4" max="4" width="38.33203125" style="129" customWidth="1"/>
    <col min="5" max="5" width="12.33203125" style="129" customWidth="1"/>
    <col min="6" max="6" width="27.58203125" style="129" customWidth="1"/>
    <col min="7" max="7" width="24.58203125" style="129" customWidth="1"/>
    <col min="8" max="8" width="22.5" style="129" bestFit="1" customWidth="1"/>
    <col min="9" max="9" width="37.75" style="129" bestFit="1" customWidth="1"/>
    <col min="10" max="10" width="3.58203125" style="129" customWidth="1"/>
    <col min="11" max="11" width="13" style="129" bestFit="1" customWidth="1"/>
    <col min="12" max="12" width="12.25" style="129" bestFit="1" customWidth="1"/>
    <col min="13" max="15" width="1.58203125" style="129" customWidth="1"/>
    <col min="16" max="17" width="19.25" style="129" hidden="1" customWidth="1"/>
    <col min="18" max="18" width="8.58203125" style="129" hidden="1" customWidth="1"/>
    <col min="19" max="19" width="21.33203125" style="129" hidden="1" customWidth="1"/>
    <col min="20" max="20" width="11.58203125" style="129" hidden="1" customWidth="1"/>
    <col min="21" max="16384" width="9" style="129"/>
  </cols>
  <sheetData>
    <row r="1" spans="2:12" ht="32.5">
      <c r="B1" s="11" t="s">
        <v>53</v>
      </c>
      <c r="D1" s="19"/>
      <c r="I1" s="169" t="s">
        <v>380</v>
      </c>
    </row>
    <row r="2" spans="2:12" ht="20.25" customHeight="1">
      <c r="B2" s="11"/>
      <c r="D2" s="19"/>
    </row>
    <row r="3" spans="2:12" ht="20.25" customHeight="1">
      <c r="B3" s="209" t="s">
        <v>121</v>
      </c>
      <c r="C3" s="209"/>
      <c r="D3" s="58"/>
      <c r="F3" s="20" t="s">
        <v>81</v>
      </c>
      <c r="G3" s="32"/>
    </row>
    <row r="4" spans="2:12" ht="20.25" customHeight="1">
      <c r="B4" s="209" t="s">
        <v>122</v>
      </c>
      <c r="C4" s="209"/>
      <c r="D4" s="58"/>
      <c r="F4" s="20" t="s">
        <v>190</v>
      </c>
      <c r="G4" s="135"/>
    </row>
    <row r="5" spans="2:12" ht="20.25" customHeight="1">
      <c r="B5" s="209" t="s">
        <v>124</v>
      </c>
      <c r="C5" s="209"/>
      <c r="D5" s="58"/>
      <c r="F5" s="109" t="s">
        <v>216</v>
      </c>
      <c r="G5" s="49"/>
    </row>
    <row r="6" spans="2:12" ht="20.25" customHeight="1">
      <c r="B6" s="310" t="s">
        <v>123</v>
      </c>
      <c r="C6" s="310"/>
      <c r="D6" s="59"/>
      <c r="F6" s="109" t="s">
        <v>215</v>
      </c>
      <c r="G6" s="49"/>
    </row>
    <row r="7" spans="2:12" ht="20.25" customHeight="1">
      <c r="B7" s="310" t="s">
        <v>126</v>
      </c>
      <c r="C7" s="310"/>
      <c r="D7" s="59"/>
      <c r="F7" s="109" t="s">
        <v>214</v>
      </c>
      <c r="G7" s="49"/>
    </row>
    <row r="8" spans="2:12" ht="20.25" customHeight="1">
      <c r="B8" s="209" t="s">
        <v>116</v>
      </c>
      <c r="C8" s="209"/>
      <c r="D8" s="94">
        <f>D3*D5/100</f>
        <v>0</v>
      </c>
      <c r="F8" s="109" t="s">
        <v>213</v>
      </c>
      <c r="G8" s="49"/>
    </row>
    <row r="9" spans="2:12" ht="20.25" customHeight="1">
      <c r="B9" s="209" t="s">
        <v>117</v>
      </c>
      <c r="C9" s="209"/>
      <c r="D9" s="95">
        <f>D4*D5/100</f>
        <v>0</v>
      </c>
      <c r="F9" s="20" t="s">
        <v>212</v>
      </c>
      <c r="G9" s="49"/>
    </row>
    <row r="10" spans="2:12" ht="20.25" customHeight="1">
      <c r="B10" s="210" t="s">
        <v>79</v>
      </c>
      <c r="C10" s="211"/>
      <c r="D10" s="31"/>
      <c r="F10" s="20" t="s">
        <v>82</v>
      </c>
      <c r="G10" s="32"/>
    </row>
    <row r="11" spans="2:12" ht="20.25" customHeight="1">
      <c r="B11" s="228" t="s">
        <v>364</v>
      </c>
      <c r="C11" s="229"/>
      <c r="D11" s="31"/>
      <c r="F11" s="109" t="s">
        <v>183</v>
      </c>
      <c r="G11" s="49"/>
    </row>
    <row r="12" spans="2:12" ht="20.25" customHeight="1">
      <c r="B12" s="210" t="s">
        <v>267</v>
      </c>
      <c r="C12" s="211"/>
      <c r="D12" s="95">
        <v>37.700000000000003</v>
      </c>
      <c r="F12" s="21" t="s">
        <v>98</v>
      </c>
      <c r="G12" s="32"/>
      <c r="H12" s="33" t="s">
        <v>65</v>
      </c>
      <c r="I12" s="22" t="s">
        <v>83</v>
      </c>
      <c r="J12" s="250" t="str">
        <f>IF($G$12="","",VLOOKUP($G$12,$P$27:$R$28,2,FALSE))</f>
        <v/>
      </c>
      <c r="K12" s="309" t="str">
        <f>IF($G$12="","",VLOOKUP(J13,$P$27:$R$27,2,FALSE))</f>
        <v/>
      </c>
      <c r="L12" s="103"/>
    </row>
    <row r="13" spans="2:12" ht="20.25" customHeight="1">
      <c r="B13" s="228" t="s">
        <v>273</v>
      </c>
      <c r="C13" s="229"/>
      <c r="D13" s="39">
        <v>220123</v>
      </c>
      <c r="E13" s="29"/>
      <c r="F13" s="21" t="s">
        <v>99</v>
      </c>
      <c r="G13" s="32"/>
      <c r="I13" s="22" t="s">
        <v>102</v>
      </c>
      <c r="J13" s="250" t="str">
        <f>IF($G$12="","",VLOOKUP($G$12,$P$27:$T$28,4,FALSE))</f>
        <v/>
      </c>
      <c r="K13" s="309" t="str">
        <f>IF($G$12="","",VLOOKUP(J12,$P$27:$T$27,4,FALSE))</f>
        <v/>
      </c>
      <c r="L13" s="103"/>
    </row>
    <row r="14" spans="2:12" ht="20.25" customHeight="1">
      <c r="B14" s="228" t="s">
        <v>274</v>
      </c>
      <c r="C14" s="229"/>
      <c r="D14" s="95">
        <v>78.599999999999994</v>
      </c>
      <c r="E14" s="29"/>
      <c r="F14" s="24" t="s">
        <v>100</v>
      </c>
      <c r="G14" s="23"/>
    </row>
    <row r="15" spans="2:12" ht="20.25" customHeight="1">
      <c r="B15" s="127"/>
      <c r="C15" s="127"/>
      <c r="D15" s="48"/>
      <c r="E15" s="29"/>
      <c r="I15" s="46"/>
      <c r="J15" s="45"/>
      <c r="K15" s="45"/>
    </row>
    <row r="16" spans="2:12" ht="20.25" customHeight="1">
      <c r="B16" s="308" t="s">
        <v>159</v>
      </c>
      <c r="C16" s="308"/>
      <c r="D16" s="19"/>
      <c r="F16" s="129" t="s">
        <v>160</v>
      </c>
    </row>
    <row r="17" spans="2:20" ht="20.25" customHeight="1">
      <c r="B17" s="209" t="s">
        <v>161</v>
      </c>
      <c r="C17" s="209"/>
      <c r="D17" s="109">
        <v>66.400000000000006</v>
      </c>
      <c r="E17" s="1"/>
      <c r="F17" s="109" t="s">
        <v>112</v>
      </c>
      <c r="G17" s="30"/>
    </row>
    <row r="18" spans="2:20" ht="20.25" customHeight="1">
      <c r="B18" s="209" t="s">
        <v>162</v>
      </c>
      <c r="C18" s="209"/>
      <c r="D18" s="96">
        <v>95</v>
      </c>
      <c r="E18" s="1"/>
      <c r="F18" s="109" t="s">
        <v>76</v>
      </c>
      <c r="G18" s="50">
        <f>ROUND(D8/(1-G17/100),1)</f>
        <v>0</v>
      </c>
    </row>
    <row r="19" spans="2:20" ht="20.25" customHeight="1">
      <c r="B19" s="209" t="s">
        <v>163</v>
      </c>
      <c r="C19" s="209"/>
      <c r="D19" s="96">
        <v>66.2</v>
      </c>
      <c r="F19" s="109" t="s">
        <v>243</v>
      </c>
      <c r="G19" s="50">
        <f>ROUND(D9/(1-G17/100),1)</f>
        <v>0</v>
      </c>
    </row>
    <row r="20" spans="2:20" ht="20.25" customHeight="1">
      <c r="B20" s="210" t="s">
        <v>169</v>
      </c>
      <c r="C20" s="211"/>
      <c r="D20" s="109">
        <v>79</v>
      </c>
      <c r="F20" s="109" t="s">
        <v>77</v>
      </c>
      <c r="G20" s="49"/>
    </row>
    <row r="21" spans="2:20" ht="20.25" customHeight="1">
      <c r="B21" s="209" t="s">
        <v>164</v>
      </c>
      <c r="C21" s="209"/>
      <c r="D21" s="96">
        <v>40</v>
      </c>
      <c r="F21" s="109" t="s">
        <v>118</v>
      </c>
      <c r="G21" s="109">
        <v>43</v>
      </c>
      <c r="N21" s="28" t="str">
        <f>IF($G$12="","",VLOOKUP($G$12,$P$27:$R$28,3,FALSE))</f>
        <v/>
      </c>
    </row>
    <row r="22" spans="2:20" ht="20.25" customHeight="1">
      <c r="B22" s="210" t="s">
        <v>284</v>
      </c>
      <c r="C22" s="211"/>
      <c r="D22" s="109">
        <v>9.3000000000000007</v>
      </c>
      <c r="F22" s="109" t="s">
        <v>119</v>
      </c>
      <c r="G22" s="51">
        <v>8000</v>
      </c>
      <c r="N22" s="28" t="str">
        <f>IF($G$12="","",VLOOKUP($G$12,$P$27:$T$28,5,FALSE))</f>
        <v/>
      </c>
    </row>
    <row r="23" spans="2:20" ht="20.25" customHeight="1">
      <c r="B23" s="210" t="s">
        <v>172</v>
      </c>
      <c r="C23" s="211"/>
      <c r="D23" s="109">
        <v>0.48</v>
      </c>
      <c r="F23" s="109" t="s">
        <v>78</v>
      </c>
      <c r="G23" s="31"/>
      <c r="N23" s="47"/>
    </row>
    <row r="24" spans="2:20" ht="20.25" customHeight="1">
      <c r="B24" s="210" t="s">
        <v>173</v>
      </c>
      <c r="C24" s="211"/>
      <c r="D24" s="109">
        <v>62.7</v>
      </c>
    </row>
    <row r="25" spans="2:20" ht="20.25" customHeight="1">
      <c r="B25" s="210" t="s">
        <v>174</v>
      </c>
      <c r="C25" s="211"/>
      <c r="D25" s="109">
        <v>39.299999999999997</v>
      </c>
      <c r="F25" s="20" t="s">
        <v>80</v>
      </c>
      <c r="G25" s="35">
        <v>300</v>
      </c>
    </row>
    <row r="26" spans="2:20" ht="20.25" customHeight="1">
      <c r="B26" s="210" t="s">
        <v>179</v>
      </c>
      <c r="C26" s="211"/>
      <c r="D26" s="109">
        <v>50.8</v>
      </c>
    </row>
    <row r="27" spans="2:20" ht="20">
      <c r="B27" s="210" t="s">
        <v>235</v>
      </c>
      <c r="C27" s="211"/>
      <c r="D27" s="136">
        <v>2000</v>
      </c>
      <c r="O27" s="1"/>
      <c r="P27" s="109" t="s">
        <v>55</v>
      </c>
      <c r="Q27" s="109">
        <v>36.700000000000003</v>
      </c>
      <c r="R27" s="109" t="s">
        <v>56</v>
      </c>
      <c r="S27" s="21">
        <v>2.4900000000000002</v>
      </c>
      <c r="T27" s="21" t="s">
        <v>97</v>
      </c>
    </row>
    <row r="28" spans="2:20" ht="20">
      <c r="B28" s="304" t="s">
        <v>80</v>
      </c>
      <c r="C28" s="305"/>
      <c r="D28" s="35">
        <v>360</v>
      </c>
      <c r="H28" s="23"/>
      <c r="P28" s="109" t="s">
        <v>67</v>
      </c>
      <c r="Q28" s="109">
        <v>39.1</v>
      </c>
      <c r="R28" s="109" t="s">
        <v>56</v>
      </c>
      <c r="S28" s="21">
        <v>2.71</v>
      </c>
      <c r="T28" s="21" t="s">
        <v>97</v>
      </c>
    </row>
    <row r="29" spans="2:20">
      <c r="B29" s="127"/>
      <c r="C29" s="127"/>
      <c r="D29" s="48"/>
      <c r="F29" s="45"/>
      <c r="G29" s="23"/>
      <c r="H29" s="23"/>
      <c r="I29" s="46"/>
      <c r="J29" s="45"/>
      <c r="K29" s="45"/>
      <c r="L29" s="47"/>
      <c r="P29" s="127"/>
      <c r="Q29" s="127"/>
      <c r="R29" s="127"/>
      <c r="S29" s="45"/>
      <c r="T29" s="45"/>
    </row>
    <row r="30" spans="2:20" ht="32.5">
      <c r="B30" s="11" t="s">
        <v>151</v>
      </c>
      <c r="O30" s="25"/>
      <c r="P30" s="127"/>
      <c r="Q30" s="127"/>
      <c r="R30" s="127"/>
    </row>
    <row r="31" spans="2:20" ht="19.5" customHeight="1">
      <c r="B31" s="109" t="s">
        <v>15</v>
      </c>
      <c r="C31" s="109" t="s">
        <v>17</v>
      </c>
      <c r="D31" s="109" t="s">
        <v>16</v>
      </c>
      <c r="E31" s="109" t="s">
        <v>24</v>
      </c>
      <c r="F31" s="210" t="s">
        <v>33</v>
      </c>
      <c r="G31" s="211"/>
      <c r="H31" s="109" t="s">
        <v>143</v>
      </c>
      <c r="I31" s="109" t="s">
        <v>14</v>
      </c>
      <c r="J31" s="45"/>
      <c r="K31" s="45"/>
      <c r="L31" s="47"/>
      <c r="P31" s="127"/>
      <c r="Q31" s="127"/>
      <c r="R31" s="127"/>
      <c r="S31" s="45"/>
      <c r="T31" s="45"/>
    </row>
    <row r="32" spans="2:20" ht="19.5" customHeight="1">
      <c r="B32" s="60" t="s">
        <v>7</v>
      </c>
      <c r="C32" s="68" t="s">
        <v>144</v>
      </c>
      <c r="D32" s="68" t="s">
        <v>127</v>
      </c>
      <c r="E32" s="70" t="s">
        <v>111</v>
      </c>
      <c r="F32" s="61" t="s">
        <v>131</v>
      </c>
      <c r="G32" s="62"/>
      <c r="H32" s="73">
        <f>D9*D6/100</f>
        <v>0</v>
      </c>
      <c r="I32" s="63"/>
      <c r="J32" s="45"/>
      <c r="K32" s="45"/>
      <c r="L32" s="47"/>
      <c r="P32" s="127"/>
      <c r="Q32" s="127"/>
      <c r="R32" s="127"/>
      <c r="S32" s="45"/>
      <c r="T32" s="45"/>
    </row>
    <row r="33" spans="2:20" ht="19.5" customHeight="1">
      <c r="B33" s="64"/>
      <c r="C33" s="69"/>
      <c r="D33" s="146"/>
      <c r="E33" s="128" t="s">
        <v>128</v>
      </c>
      <c r="F33" s="77" t="s">
        <v>134</v>
      </c>
      <c r="G33" s="78"/>
      <c r="H33" s="79">
        <f>H32*D28</f>
        <v>0</v>
      </c>
      <c r="I33" s="80"/>
      <c r="J33" s="45"/>
      <c r="K33" s="45"/>
      <c r="L33" s="47"/>
      <c r="P33" s="127"/>
      <c r="Q33" s="127"/>
      <c r="R33" s="127"/>
      <c r="S33" s="45"/>
      <c r="T33" s="45"/>
    </row>
    <row r="34" spans="2:20" ht="19.5" customHeight="1">
      <c r="B34" s="64"/>
      <c r="C34" s="69"/>
      <c r="D34" s="68" t="s">
        <v>125</v>
      </c>
      <c r="E34" s="128" t="s">
        <v>111</v>
      </c>
      <c r="F34" s="77" t="s">
        <v>132</v>
      </c>
      <c r="G34" s="78"/>
      <c r="H34" s="81">
        <f>D9-H32</f>
        <v>0</v>
      </c>
      <c r="I34" s="80"/>
      <c r="J34" s="45"/>
      <c r="K34" s="45"/>
      <c r="L34" s="47"/>
      <c r="P34" s="127"/>
      <c r="Q34" s="127"/>
      <c r="R34" s="127"/>
      <c r="S34" s="45"/>
      <c r="T34" s="45"/>
    </row>
    <row r="35" spans="2:20" ht="19.5" customHeight="1">
      <c r="B35" s="64"/>
      <c r="C35" s="69"/>
      <c r="D35" s="146"/>
      <c r="E35" s="128" t="s">
        <v>128</v>
      </c>
      <c r="F35" s="77" t="s">
        <v>133</v>
      </c>
      <c r="G35" s="78"/>
      <c r="H35" s="79">
        <f>H34*D28</f>
        <v>0</v>
      </c>
      <c r="I35" s="80"/>
      <c r="J35" s="45"/>
      <c r="K35" s="45"/>
      <c r="L35" s="47"/>
      <c r="P35" s="127"/>
      <c r="Q35" s="127"/>
      <c r="R35" s="127"/>
      <c r="S35" s="45"/>
      <c r="T35" s="45"/>
    </row>
    <row r="36" spans="2:20" ht="19.5" customHeight="1">
      <c r="B36" s="64"/>
      <c r="C36" s="69"/>
      <c r="D36" s="68" t="s">
        <v>129</v>
      </c>
      <c r="E36" s="128" t="s">
        <v>111</v>
      </c>
      <c r="F36" s="77" t="s">
        <v>135</v>
      </c>
      <c r="G36" s="78"/>
      <c r="H36" s="82">
        <f>H32*D7/100</f>
        <v>0</v>
      </c>
      <c r="I36" s="80"/>
      <c r="J36" s="45"/>
      <c r="K36" s="45"/>
      <c r="L36" s="47"/>
      <c r="P36" s="127"/>
      <c r="Q36" s="127"/>
      <c r="R36" s="127"/>
      <c r="S36" s="45"/>
      <c r="T36" s="45"/>
    </row>
    <row r="37" spans="2:20" ht="19.5" customHeight="1">
      <c r="B37" s="64"/>
      <c r="C37" s="69"/>
      <c r="D37" s="146"/>
      <c r="E37" s="128" t="s">
        <v>128</v>
      </c>
      <c r="F37" s="77" t="s">
        <v>136</v>
      </c>
      <c r="G37" s="78"/>
      <c r="H37" s="79">
        <f>H36*D28</f>
        <v>0</v>
      </c>
      <c r="I37" s="80"/>
      <c r="J37" s="45"/>
      <c r="K37" s="45"/>
      <c r="L37" s="47"/>
      <c r="P37" s="127"/>
      <c r="Q37" s="127"/>
      <c r="R37" s="127"/>
      <c r="S37" s="45"/>
      <c r="T37" s="45"/>
    </row>
    <row r="38" spans="2:20" ht="19.5" customHeight="1">
      <c r="B38" s="64"/>
      <c r="C38" s="69"/>
      <c r="D38" s="68" t="s">
        <v>130</v>
      </c>
      <c r="E38" s="128" t="s">
        <v>111</v>
      </c>
      <c r="F38" s="77" t="s">
        <v>138</v>
      </c>
      <c r="G38" s="78"/>
      <c r="H38" s="82">
        <f>H36*(1-66.4/100)</f>
        <v>0</v>
      </c>
      <c r="I38" s="89" t="s">
        <v>137</v>
      </c>
      <c r="J38" s="45"/>
      <c r="K38" s="45"/>
      <c r="L38" s="47"/>
      <c r="P38" s="127"/>
      <c r="Q38" s="127"/>
      <c r="R38" s="127"/>
      <c r="S38" s="45"/>
      <c r="T38" s="45"/>
    </row>
    <row r="39" spans="2:20" ht="19.5" customHeight="1">
      <c r="B39" s="64"/>
      <c r="C39" s="69"/>
      <c r="D39" s="146"/>
      <c r="E39" s="128" t="s">
        <v>128</v>
      </c>
      <c r="F39" s="77" t="s">
        <v>139</v>
      </c>
      <c r="G39" s="78"/>
      <c r="H39" s="79">
        <f>H38*D28</f>
        <v>0</v>
      </c>
      <c r="I39" s="80"/>
      <c r="J39" s="45"/>
      <c r="K39" s="45"/>
      <c r="L39" s="47"/>
      <c r="P39" s="127"/>
      <c r="Q39" s="127"/>
      <c r="R39" s="127"/>
      <c r="S39" s="45"/>
      <c r="T39" s="45"/>
    </row>
    <row r="40" spans="2:20" ht="19.5" customHeight="1">
      <c r="B40" s="64"/>
      <c r="C40" s="69"/>
      <c r="D40" s="100" t="s">
        <v>140</v>
      </c>
      <c r="E40" s="109" t="s">
        <v>141</v>
      </c>
      <c r="F40" s="83" t="s">
        <v>142</v>
      </c>
      <c r="G40" s="84"/>
      <c r="H40" s="2">
        <f>H34+H38</f>
        <v>0</v>
      </c>
      <c r="I40" s="103"/>
      <c r="J40" s="45"/>
      <c r="K40" s="45"/>
      <c r="L40" s="47"/>
      <c r="P40" s="127"/>
      <c r="Q40" s="127"/>
      <c r="R40" s="127"/>
      <c r="S40" s="45"/>
      <c r="T40" s="45"/>
    </row>
    <row r="41" spans="2:20" ht="37.5" customHeight="1">
      <c r="B41" s="64"/>
      <c r="C41" s="88"/>
      <c r="D41" s="123"/>
      <c r="E41" s="109" t="s">
        <v>128</v>
      </c>
      <c r="F41" s="306" t="s">
        <v>158</v>
      </c>
      <c r="G41" s="307"/>
      <c r="H41" s="85">
        <f>H40*D28</f>
        <v>0</v>
      </c>
      <c r="I41" s="103"/>
      <c r="J41" s="45"/>
      <c r="K41" s="45"/>
      <c r="L41" s="47"/>
      <c r="P41" s="127"/>
      <c r="Q41" s="127"/>
      <c r="R41" s="127"/>
      <c r="S41" s="45"/>
      <c r="T41" s="45"/>
    </row>
    <row r="42" spans="2:20" ht="19.5" customHeight="1">
      <c r="B42" s="64"/>
      <c r="C42" s="69" t="s">
        <v>145</v>
      </c>
      <c r="D42" s="100" t="s">
        <v>146</v>
      </c>
      <c r="E42" s="44" t="s">
        <v>141</v>
      </c>
      <c r="F42" s="130" t="s">
        <v>147</v>
      </c>
      <c r="G42" s="127"/>
      <c r="H42" s="75">
        <f>H40*95/100</f>
        <v>0</v>
      </c>
      <c r="I42" s="122" t="s">
        <v>148</v>
      </c>
      <c r="J42" s="45"/>
      <c r="K42" s="45"/>
      <c r="L42" s="47"/>
      <c r="P42" s="127"/>
      <c r="Q42" s="127"/>
      <c r="R42" s="127"/>
      <c r="S42" s="45"/>
      <c r="T42" s="45"/>
    </row>
    <row r="43" spans="2:20" ht="19.5" customHeight="1">
      <c r="B43" s="64"/>
      <c r="C43" s="69"/>
      <c r="D43" s="123"/>
      <c r="E43" s="109" t="s">
        <v>128</v>
      </c>
      <c r="F43" s="83" t="s">
        <v>149</v>
      </c>
      <c r="G43" s="84"/>
      <c r="H43" s="85">
        <f>H42*D28</f>
        <v>0</v>
      </c>
      <c r="I43" s="140"/>
      <c r="J43" s="45"/>
      <c r="K43" s="45"/>
      <c r="L43" s="47"/>
      <c r="P43" s="127"/>
      <c r="Q43" s="127"/>
      <c r="R43" s="127"/>
      <c r="S43" s="45"/>
      <c r="T43" s="45"/>
    </row>
    <row r="44" spans="2:20" ht="19.5" customHeight="1">
      <c r="B44" s="65"/>
      <c r="C44" s="44"/>
      <c r="D44" s="147" t="s">
        <v>150</v>
      </c>
      <c r="E44" s="128" t="s">
        <v>141</v>
      </c>
      <c r="F44" s="77" t="s">
        <v>155</v>
      </c>
      <c r="G44" s="78"/>
      <c r="H44" s="82">
        <f>H42/(1-66.2/100)</f>
        <v>0</v>
      </c>
      <c r="I44" s="89" t="s">
        <v>152</v>
      </c>
      <c r="J44" s="45"/>
      <c r="K44" s="45"/>
      <c r="L44" s="47"/>
      <c r="P44" s="127"/>
      <c r="Q44" s="127"/>
      <c r="R44" s="127"/>
      <c r="S44" s="45"/>
      <c r="T44" s="45"/>
    </row>
    <row r="45" spans="2:20" ht="19.5" customHeight="1">
      <c r="B45" s="65"/>
      <c r="C45" s="44"/>
      <c r="D45" s="92"/>
      <c r="E45" s="71" t="s">
        <v>128</v>
      </c>
      <c r="F45" s="47" t="s">
        <v>278</v>
      </c>
      <c r="G45" s="23"/>
      <c r="H45" s="74">
        <f>H44*365</f>
        <v>0</v>
      </c>
      <c r="I45" s="90" t="s">
        <v>279</v>
      </c>
      <c r="J45" s="45"/>
      <c r="K45" s="45"/>
      <c r="L45" s="47"/>
      <c r="P45" s="127"/>
      <c r="Q45" s="127"/>
      <c r="R45" s="127"/>
      <c r="S45" s="45"/>
      <c r="T45" s="45"/>
    </row>
    <row r="46" spans="2:20" ht="19.5" customHeight="1">
      <c r="B46" s="65"/>
      <c r="C46" s="106"/>
      <c r="D46" s="93"/>
      <c r="E46" s="72"/>
      <c r="F46" s="87"/>
      <c r="G46" s="66"/>
      <c r="H46" s="86"/>
      <c r="I46" s="91"/>
      <c r="J46" s="45"/>
      <c r="K46" s="45"/>
      <c r="L46" s="47"/>
      <c r="P46" s="127"/>
      <c r="Q46" s="127"/>
      <c r="R46" s="127"/>
      <c r="S46" s="45"/>
      <c r="T46" s="45"/>
    </row>
    <row r="47" spans="2:20" ht="19.5" customHeight="1">
      <c r="B47" s="65"/>
      <c r="C47" s="116" t="s">
        <v>109</v>
      </c>
      <c r="D47" s="147" t="s">
        <v>153</v>
      </c>
      <c r="E47" s="128" t="s">
        <v>111</v>
      </c>
      <c r="F47" s="77" t="s">
        <v>156</v>
      </c>
      <c r="G47" s="78"/>
      <c r="H47" s="82">
        <f>H42/(1-40/100)</f>
        <v>0</v>
      </c>
      <c r="I47" s="89" t="s">
        <v>154</v>
      </c>
      <c r="J47" s="45"/>
      <c r="K47" s="45"/>
      <c r="L47" s="47"/>
      <c r="P47" s="127"/>
      <c r="Q47" s="127"/>
      <c r="R47" s="127"/>
      <c r="S47" s="45"/>
      <c r="T47" s="45"/>
    </row>
    <row r="48" spans="2:20" ht="19.5" customHeight="1">
      <c r="B48" s="110"/>
      <c r="C48" s="106"/>
      <c r="D48" s="93"/>
      <c r="E48" s="72" t="s">
        <v>128</v>
      </c>
      <c r="F48" s="87" t="s">
        <v>157</v>
      </c>
      <c r="G48" s="66"/>
      <c r="H48" s="76">
        <f>H47*D28</f>
        <v>0</v>
      </c>
      <c r="I48" s="67"/>
      <c r="J48" s="45"/>
      <c r="K48" s="45"/>
      <c r="L48" s="47"/>
      <c r="P48" s="127"/>
      <c r="Q48" s="127"/>
      <c r="R48" s="127"/>
      <c r="S48" s="45"/>
      <c r="T48" s="45"/>
    </row>
    <row r="49" spans="2:18">
      <c r="F49" s="1"/>
    </row>
    <row r="50" spans="2:18" ht="32.5">
      <c r="B50" s="11" t="s">
        <v>103</v>
      </c>
      <c r="O50" s="25"/>
      <c r="P50" s="127"/>
      <c r="Q50" s="127"/>
      <c r="R50" s="127"/>
    </row>
    <row r="51" spans="2:18">
      <c r="B51" s="109" t="s">
        <v>15</v>
      </c>
      <c r="C51" s="109" t="s">
        <v>17</v>
      </c>
      <c r="D51" s="109" t="s">
        <v>16</v>
      </c>
      <c r="E51" s="109" t="s">
        <v>24</v>
      </c>
      <c r="F51" s="210" t="s">
        <v>33</v>
      </c>
      <c r="G51" s="211"/>
      <c r="H51" s="109" t="s">
        <v>12</v>
      </c>
      <c r="I51" s="109" t="s">
        <v>14</v>
      </c>
      <c r="O51" s="127"/>
      <c r="P51" s="127"/>
      <c r="Q51" s="127"/>
      <c r="R51" s="127"/>
    </row>
    <row r="52" spans="2:18" ht="19.5" customHeight="1">
      <c r="B52" s="41" t="s">
        <v>1</v>
      </c>
      <c r="C52" s="41" t="s">
        <v>105</v>
      </c>
      <c r="D52" s="14" t="s">
        <v>104</v>
      </c>
      <c r="E52" s="109" t="s">
        <v>31</v>
      </c>
      <c r="F52" s="210" t="s">
        <v>108</v>
      </c>
      <c r="G52" s="211"/>
      <c r="H52" s="13">
        <f>1.361*G18^0.38*100</f>
        <v>0</v>
      </c>
      <c r="I52" s="10" t="s">
        <v>69</v>
      </c>
      <c r="O52" s="127"/>
      <c r="P52" s="127"/>
      <c r="Q52" s="26"/>
      <c r="R52" s="127"/>
    </row>
    <row r="53" spans="2:18" ht="19.5" customHeight="1">
      <c r="B53" s="42"/>
      <c r="C53" s="42"/>
      <c r="D53" s="118" t="s">
        <v>2</v>
      </c>
      <c r="E53" s="109" t="s">
        <v>31</v>
      </c>
      <c r="F53" s="210" t="s">
        <v>59</v>
      </c>
      <c r="G53" s="211"/>
      <c r="H53" s="13">
        <f>1.888*G18^0.597*100</f>
        <v>0</v>
      </c>
      <c r="I53" s="10" t="s">
        <v>42</v>
      </c>
      <c r="O53" s="280"/>
      <c r="P53" s="112"/>
      <c r="Q53" s="26"/>
      <c r="R53" s="303"/>
    </row>
    <row r="54" spans="2:18" ht="19.5" customHeight="1">
      <c r="B54" s="42"/>
      <c r="C54" s="42"/>
      <c r="D54" s="118" t="s">
        <v>3</v>
      </c>
      <c r="E54" s="109" t="s">
        <v>31</v>
      </c>
      <c r="F54" s="210" t="s">
        <v>60</v>
      </c>
      <c r="G54" s="211"/>
      <c r="H54" s="13">
        <f>0.726*G18^0.539*100</f>
        <v>0</v>
      </c>
      <c r="I54" s="10" t="s">
        <v>39</v>
      </c>
      <c r="O54" s="280"/>
      <c r="P54" s="112"/>
      <c r="Q54" s="26"/>
      <c r="R54" s="303"/>
    </row>
    <row r="55" spans="2:18" ht="19.5" customHeight="1">
      <c r="B55" s="42"/>
      <c r="C55" s="42"/>
      <c r="D55" s="109" t="s">
        <v>11</v>
      </c>
      <c r="E55" s="109" t="s">
        <v>31</v>
      </c>
      <c r="F55" s="210" t="s">
        <v>34</v>
      </c>
      <c r="G55" s="211"/>
      <c r="H55" s="13">
        <f>+H52+H53+H54</f>
        <v>0</v>
      </c>
      <c r="I55" s="10" t="s">
        <v>43</v>
      </c>
      <c r="K55" s="109" t="s">
        <v>89</v>
      </c>
      <c r="L55" s="30">
        <v>2.2999999999999998</v>
      </c>
      <c r="O55" s="280"/>
      <c r="P55" s="112"/>
      <c r="Q55" s="26"/>
      <c r="R55" s="127"/>
    </row>
    <row r="56" spans="2:18" ht="19.5" customHeight="1">
      <c r="B56" s="42"/>
      <c r="C56" s="42"/>
      <c r="D56" s="185" t="s">
        <v>6</v>
      </c>
      <c r="E56" s="185" t="s">
        <v>32</v>
      </c>
      <c r="F56" s="287" t="s">
        <v>68</v>
      </c>
      <c r="G56" s="288"/>
      <c r="H56" s="292">
        <f>H52*L55/100*(1+L55/100)^L57/((1+L55/100)^L57-1)+H53*L55/100*(1+L55/100)^L58/((1+L55/100)^L58-1)+H54*L55/100*(1+L55/100)^L59/((1+L55/100)^L59-1)</f>
        <v>0</v>
      </c>
      <c r="I56" s="219" t="s">
        <v>66</v>
      </c>
      <c r="K56" s="209" t="s">
        <v>107</v>
      </c>
      <c r="L56" s="209"/>
      <c r="O56" s="280"/>
      <c r="P56" s="280"/>
      <c r="Q56" s="7"/>
      <c r="R56" s="127"/>
    </row>
    <row r="57" spans="2:18" ht="19.5" customHeight="1">
      <c r="B57" s="42"/>
      <c r="C57" s="42"/>
      <c r="D57" s="187"/>
      <c r="E57" s="187"/>
      <c r="F57" s="289"/>
      <c r="G57" s="290"/>
      <c r="H57" s="293"/>
      <c r="I57" s="221"/>
      <c r="K57" s="109" t="s">
        <v>63</v>
      </c>
      <c r="L57" s="30">
        <v>45</v>
      </c>
      <c r="O57" s="112"/>
      <c r="P57" s="112"/>
      <c r="Q57" s="7"/>
      <c r="R57" s="127"/>
    </row>
    <row r="58" spans="2:18" ht="19.5" customHeight="1">
      <c r="B58" s="42"/>
      <c r="C58" s="42"/>
      <c r="D58" s="219" t="s">
        <v>84</v>
      </c>
      <c r="E58" s="185" t="s">
        <v>32</v>
      </c>
      <c r="F58" s="188" t="s">
        <v>61</v>
      </c>
      <c r="G58" s="189"/>
      <c r="H58" s="217">
        <f>0.287*G20^0.673</f>
        <v>0</v>
      </c>
      <c r="I58" s="240" t="s">
        <v>70</v>
      </c>
      <c r="K58" s="109" t="s">
        <v>62</v>
      </c>
      <c r="L58" s="30">
        <v>20</v>
      </c>
      <c r="O58" s="112"/>
      <c r="P58" s="112"/>
      <c r="Q58" s="7"/>
      <c r="R58" s="127"/>
    </row>
    <row r="59" spans="2:18" ht="19.5" customHeight="1">
      <c r="B59" s="42"/>
      <c r="C59" s="42"/>
      <c r="D59" s="221"/>
      <c r="E59" s="187"/>
      <c r="F59" s="192"/>
      <c r="G59" s="193"/>
      <c r="H59" s="294"/>
      <c r="I59" s="241"/>
      <c r="K59" s="109" t="s">
        <v>9</v>
      </c>
      <c r="L59" s="30">
        <v>20</v>
      </c>
      <c r="O59" s="112"/>
      <c r="P59" s="112"/>
      <c r="Q59" s="127"/>
      <c r="R59" s="127"/>
    </row>
    <row r="60" spans="2:18" ht="19.5" customHeight="1">
      <c r="B60" s="42"/>
      <c r="C60" s="42"/>
      <c r="D60" s="131" t="s">
        <v>120</v>
      </c>
      <c r="E60" s="44" t="s">
        <v>110</v>
      </c>
      <c r="F60" s="262" t="s">
        <v>165</v>
      </c>
      <c r="G60" s="263"/>
      <c r="H60" s="217">
        <f>G20*(1-G17/100)*G21/100*G22/10^6</f>
        <v>0</v>
      </c>
      <c r="I60" s="116" t="s">
        <v>57</v>
      </c>
      <c r="O60" s="112"/>
      <c r="P60" s="112"/>
      <c r="Q60" s="127"/>
      <c r="R60" s="127"/>
    </row>
    <row r="61" spans="2:18" ht="19.5" customHeight="1">
      <c r="B61" s="42"/>
      <c r="C61" s="43"/>
      <c r="D61" s="114"/>
      <c r="E61" s="106"/>
      <c r="F61" s="256"/>
      <c r="G61" s="257"/>
      <c r="H61" s="294"/>
      <c r="I61" s="101"/>
      <c r="O61" s="112"/>
      <c r="P61" s="112"/>
      <c r="Q61" s="127"/>
      <c r="R61" s="127"/>
    </row>
    <row r="62" spans="2:18" ht="19.5" customHeight="1">
      <c r="B62" s="42"/>
      <c r="C62" s="42" t="s">
        <v>306</v>
      </c>
      <c r="D62" s="131" t="s">
        <v>4</v>
      </c>
      <c r="E62" s="185" t="s">
        <v>110</v>
      </c>
      <c r="F62" s="188" t="s">
        <v>308</v>
      </c>
      <c r="G62" s="189"/>
      <c r="H62" s="217">
        <f>0.039*(365*D9/0.01)^0.596</f>
        <v>0</v>
      </c>
      <c r="I62" s="219" t="s">
        <v>365</v>
      </c>
      <c r="O62" s="112"/>
      <c r="P62" s="112"/>
      <c r="Q62" s="127"/>
      <c r="R62" s="127"/>
    </row>
    <row r="63" spans="2:18" ht="19.5" customHeight="1">
      <c r="B63" s="42"/>
      <c r="C63" s="42"/>
      <c r="D63" s="131" t="s">
        <v>307</v>
      </c>
      <c r="E63" s="186"/>
      <c r="F63" s="190"/>
      <c r="G63" s="191"/>
      <c r="H63" s="218"/>
      <c r="I63" s="220"/>
      <c r="O63" s="112"/>
      <c r="P63" s="112"/>
      <c r="Q63" s="127"/>
      <c r="R63" s="127"/>
    </row>
    <row r="64" spans="2:18" ht="19.5" customHeight="1">
      <c r="B64" s="42"/>
      <c r="C64" s="43"/>
      <c r="D64" s="114"/>
      <c r="E64" s="187"/>
      <c r="F64" s="192"/>
      <c r="G64" s="193"/>
      <c r="H64" s="150"/>
      <c r="I64" s="221"/>
      <c r="O64" s="112"/>
      <c r="P64" s="112"/>
      <c r="Q64" s="127"/>
      <c r="R64" s="127"/>
    </row>
    <row r="65" spans="2:18" ht="9.75" customHeight="1">
      <c r="B65" s="42"/>
      <c r="C65" s="295" t="s">
        <v>85</v>
      </c>
      <c r="D65" s="296"/>
      <c r="E65" s="185" t="s">
        <v>32</v>
      </c>
      <c r="F65" s="199" t="s">
        <v>34</v>
      </c>
      <c r="G65" s="200"/>
      <c r="H65" s="299">
        <f>+H56+H58+H60+H62</f>
        <v>0</v>
      </c>
      <c r="I65" s="301" t="s">
        <v>309</v>
      </c>
      <c r="O65" s="112"/>
      <c r="P65" s="112"/>
      <c r="Q65" s="127"/>
      <c r="R65" s="127"/>
    </row>
    <row r="66" spans="2:18" ht="9.75" customHeight="1">
      <c r="B66" s="43"/>
      <c r="C66" s="297"/>
      <c r="D66" s="298"/>
      <c r="E66" s="187"/>
      <c r="F66" s="201"/>
      <c r="G66" s="202"/>
      <c r="H66" s="300"/>
      <c r="I66" s="302"/>
      <c r="O66" s="12"/>
      <c r="P66" s="112"/>
      <c r="Q66" s="127"/>
      <c r="R66" s="127"/>
    </row>
    <row r="67" spans="2:18" ht="19.5" customHeight="1">
      <c r="B67" s="41" t="s">
        <v>7</v>
      </c>
      <c r="C67" s="178" t="s">
        <v>224</v>
      </c>
      <c r="D67" s="118" t="s">
        <v>8</v>
      </c>
      <c r="E67" s="109" t="s">
        <v>31</v>
      </c>
      <c r="F67" s="252" t="s">
        <v>113</v>
      </c>
      <c r="G67" s="253"/>
      <c r="H67" s="2">
        <f>95.1*D8^0.507</f>
        <v>0</v>
      </c>
      <c r="I67" s="10" t="s">
        <v>311</v>
      </c>
      <c r="O67" s="112"/>
      <c r="P67" s="112"/>
      <c r="Q67" s="127"/>
      <c r="R67" s="127"/>
    </row>
    <row r="68" spans="2:18" ht="19.5" customHeight="1">
      <c r="B68" s="42"/>
      <c r="C68" s="179"/>
      <c r="D68" s="118" t="s">
        <v>62</v>
      </c>
      <c r="E68" s="109" t="s">
        <v>31</v>
      </c>
      <c r="F68" s="252" t="s">
        <v>114</v>
      </c>
      <c r="G68" s="253"/>
      <c r="H68" s="13">
        <f>353.1*D8^0.591</f>
        <v>0</v>
      </c>
      <c r="I68" s="10" t="s">
        <v>312</v>
      </c>
      <c r="O68" s="112"/>
      <c r="P68" s="112"/>
      <c r="Q68" s="26"/>
      <c r="R68" s="127"/>
    </row>
    <row r="69" spans="2:18" ht="19.5" customHeight="1">
      <c r="B69" s="42"/>
      <c r="C69" s="179"/>
      <c r="D69" s="118" t="s">
        <v>9</v>
      </c>
      <c r="E69" s="109" t="s">
        <v>31</v>
      </c>
      <c r="F69" s="252" t="s">
        <v>115</v>
      </c>
      <c r="G69" s="253"/>
      <c r="H69" s="13">
        <f>108.3*D8^0.244</f>
        <v>0</v>
      </c>
      <c r="I69" s="10" t="s">
        <v>313</v>
      </c>
      <c r="K69" s="109" t="s">
        <v>89</v>
      </c>
      <c r="L69" s="30">
        <v>2.2999999999999998</v>
      </c>
      <c r="O69" s="280"/>
      <c r="P69" s="280"/>
      <c r="Q69" s="7"/>
      <c r="R69" s="127"/>
    </row>
    <row r="70" spans="2:18" ht="19.5" customHeight="1">
      <c r="B70" s="42"/>
      <c r="C70" s="179"/>
      <c r="D70" s="109" t="s">
        <v>11</v>
      </c>
      <c r="E70" s="109" t="s">
        <v>31</v>
      </c>
      <c r="F70" s="210" t="s">
        <v>34</v>
      </c>
      <c r="G70" s="211"/>
      <c r="H70" s="13">
        <f>+H67+H68+H69</f>
        <v>0</v>
      </c>
      <c r="I70" s="10" t="s">
        <v>314</v>
      </c>
      <c r="K70" s="209" t="s">
        <v>106</v>
      </c>
      <c r="L70" s="209"/>
      <c r="O70" s="280"/>
      <c r="P70" s="280"/>
      <c r="Q70" s="26"/>
      <c r="R70" s="127"/>
    </row>
    <row r="71" spans="2:18" ht="19.5" customHeight="1">
      <c r="B71" s="42"/>
      <c r="C71" s="179"/>
      <c r="D71" s="41" t="s">
        <v>6</v>
      </c>
      <c r="E71" s="185" t="s">
        <v>32</v>
      </c>
      <c r="F71" s="199" t="s">
        <v>71</v>
      </c>
      <c r="G71" s="200"/>
      <c r="H71" s="258">
        <f>H67*L69/100*(1+L69/100)^L71/((1+L69/100)^L71-1)+H68*L69/100*(1+L69/100)^L72/((1+L69/100)^L72-1)+H69*L69/100*(1+L69/100)^L73/((1+L69/100)^L73-1)</f>
        <v>0</v>
      </c>
      <c r="I71" s="219" t="s">
        <v>315</v>
      </c>
      <c r="K71" s="109" t="s">
        <v>8</v>
      </c>
      <c r="L71" s="30">
        <v>45</v>
      </c>
      <c r="O71" s="112"/>
      <c r="P71" s="112"/>
      <c r="Q71" s="26"/>
      <c r="R71" s="127"/>
    </row>
    <row r="72" spans="2:18" ht="19.5" customHeight="1">
      <c r="B72" s="42"/>
      <c r="C72" s="179"/>
      <c r="D72" s="43"/>
      <c r="E72" s="187"/>
      <c r="F72" s="201"/>
      <c r="G72" s="202"/>
      <c r="H72" s="260"/>
      <c r="I72" s="221"/>
      <c r="K72" s="109" t="s">
        <v>62</v>
      </c>
      <c r="L72" s="30">
        <v>20</v>
      </c>
      <c r="O72" s="280"/>
      <c r="P72" s="280"/>
      <c r="Q72" s="27"/>
      <c r="R72" s="127"/>
    </row>
    <row r="73" spans="2:18" ht="19.5" customHeight="1">
      <c r="B73" s="42"/>
      <c r="C73" s="179"/>
      <c r="D73" s="240" t="s">
        <v>86</v>
      </c>
      <c r="E73" s="178" t="s">
        <v>253</v>
      </c>
      <c r="F73" s="188" t="s">
        <v>166</v>
      </c>
      <c r="G73" s="189"/>
      <c r="H73" s="292">
        <f>412.34*D9^0.8884</f>
        <v>0</v>
      </c>
      <c r="I73" s="240" t="s">
        <v>316</v>
      </c>
      <c r="K73" s="9" t="s">
        <v>9</v>
      </c>
      <c r="L73" s="30">
        <v>20</v>
      </c>
      <c r="O73" s="112"/>
      <c r="P73" s="112"/>
      <c r="Q73" s="27"/>
      <c r="R73" s="127"/>
    </row>
    <row r="74" spans="2:18" ht="19.5" customHeight="1">
      <c r="B74" s="42"/>
      <c r="C74" s="179"/>
      <c r="D74" s="261"/>
      <c r="E74" s="180"/>
      <c r="F74" s="192"/>
      <c r="G74" s="193"/>
      <c r="H74" s="293"/>
      <c r="I74" s="241"/>
      <c r="O74" s="280"/>
      <c r="P74" s="280"/>
      <c r="Q74" s="7"/>
      <c r="R74" s="127"/>
    </row>
    <row r="75" spans="2:18" ht="19.5" customHeight="1">
      <c r="B75" s="42"/>
      <c r="C75" s="179"/>
      <c r="D75" s="261"/>
      <c r="E75" s="178" t="s">
        <v>110</v>
      </c>
      <c r="F75" s="188" t="s">
        <v>244</v>
      </c>
      <c r="G75" s="189"/>
      <c r="H75" s="258">
        <f>H73*G3*1000/10^6</f>
        <v>0</v>
      </c>
      <c r="I75" s="240" t="s">
        <v>46</v>
      </c>
      <c r="K75" s="15" t="s">
        <v>88</v>
      </c>
      <c r="L75" s="128">
        <f>$D$28</f>
        <v>360</v>
      </c>
      <c r="O75" s="112"/>
      <c r="P75" s="112"/>
      <c r="Q75" s="7"/>
      <c r="R75" s="127"/>
    </row>
    <row r="76" spans="2:18" ht="19.5" customHeight="1">
      <c r="B76" s="42"/>
      <c r="C76" s="179"/>
      <c r="D76" s="241"/>
      <c r="E76" s="180"/>
      <c r="F76" s="192"/>
      <c r="G76" s="193"/>
      <c r="H76" s="260"/>
      <c r="I76" s="241"/>
      <c r="K76" s="15" t="s">
        <v>90</v>
      </c>
      <c r="L76" s="128">
        <f>$G$3</f>
        <v>0</v>
      </c>
      <c r="O76" s="112"/>
      <c r="P76" s="112"/>
      <c r="Q76" s="7"/>
      <c r="R76" s="127"/>
    </row>
    <row r="77" spans="2:18" ht="19.5" customHeight="1">
      <c r="B77" s="42"/>
      <c r="C77" s="179"/>
      <c r="D77" s="41" t="s">
        <v>180</v>
      </c>
      <c r="E77" s="291" t="s">
        <v>205</v>
      </c>
      <c r="F77" s="188" t="s">
        <v>181</v>
      </c>
      <c r="G77" s="189"/>
      <c r="H77" s="238">
        <f>H139/D26</f>
        <v>0</v>
      </c>
      <c r="I77" s="240" t="s">
        <v>366</v>
      </c>
      <c r="O77" s="29"/>
      <c r="P77" s="29"/>
      <c r="Q77" s="7"/>
      <c r="R77" s="127"/>
    </row>
    <row r="78" spans="2:18" ht="19.5" customHeight="1">
      <c r="B78" s="42"/>
      <c r="C78" s="179"/>
      <c r="D78" s="42"/>
      <c r="E78" s="284"/>
      <c r="F78" s="192"/>
      <c r="G78" s="193"/>
      <c r="H78" s="239"/>
      <c r="I78" s="241"/>
      <c r="O78" s="29"/>
      <c r="P78" s="29"/>
      <c r="Q78" s="7"/>
      <c r="R78" s="127"/>
    </row>
    <row r="79" spans="2:18" ht="19.5" customHeight="1">
      <c r="B79" s="42"/>
      <c r="C79" s="179"/>
      <c r="D79" s="42"/>
      <c r="E79" s="283" t="s">
        <v>110</v>
      </c>
      <c r="F79" s="188" t="s">
        <v>182</v>
      </c>
      <c r="G79" s="189"/>
      <c r="H79" s="285">
        <f>H77*G11/10^6</f>
        <v>0</v>
      </c>
      <c r="I79" s="240" t="s">
        <v>48</v>
      </c>
      <c r="K79" s="15" t="s">
        <v>88</v>
      </c>
      <c r="L79" s="128">
        <f>$D$28</f>
        <v>360</v>
      </c>
      <c r="O79" s="29"/>
      <c r="P79" s="29"/>
      <c r="Q79" s="7"/>
      <c r="R79" s="127"/>
    </row>
    <row r="80" spans="2:18" ht="19.5" customHeight="1">
      <c r="B80" s="42"/>
      <c r="C80" s="179"/>
      <c r="D80" s="43"/>
      <c r="E80" s="284"/>
      <c r="F80" s="192"/>
      <c r="G80" s="193"/>
      <c r="H80" s="286"/>
      <c r="I80" s="241"/>
      <c r="K80" s="109" t="s">
        <v>232</v>
      </c>
      <c r="L80" s="138">
        <f>G11</f>
        <v>0</v>
      </c>
      <c r="O80" s="29"/>
      <c r="P80" s="29"/>
      <c r="Q80" s="7"/>
      <c r="R80" s="127"/>
    </row>
    <row r="81" spans="2:18" ht="19.5" customHeight="1">
      <c r="B81" s="42"/>
      <c r="C81" s="179"/>
      <c r="D81" s="240" t="s">
        <v>196</v>
      </c>
      <c r="E81" s="105" t="s">
        <v>187</v>
      </c>
      <c r="F81" s="188" t="s">
        <v>192</v>
      </c>
      <c r="G81" s="189"/>
      <c r="H81" s="238">
        <f>(1.71+2.86)*D9</f>
        <v>0</v>
      </c>
      <c r="I81" s="240" t="s">
        <v>193</v>
      </c>
      <c r="O81" s="29"/>
      <c r="P81" s="29"/>
      <c r="Q81" s="7"/>
      <c r="R81" s="127"/>
    </row>
    <row r="82" spans="2:18" ht="19.5" customHeight="1">
      <c r="B82" s="42"/>
      <c r="C82" s="179"/>
      <c r="D82" s="261"/>
      <c r="E82" s="105" t="s">
        <v>188</v>
      </c>
      <c r="F82" s="192"/>
      <c r="G82" s="193"/>
      <c r="H82" s="239"/>
      <c r="I82" s="241"/>
      <c r="K82" s="15" t="s">
        <v>88</v>
      </c>
      <c r="L82" s="128">
        <f>D28</f>
        <v>360</v>
      </c>
      <c r="O82" s="29"/>
      <c r="P82" s="29"/>
      <c r="Q82" s="7"/>
      <c r="R82" s="127"/>
    </row>
    <row r="83" spans="2:18" ht="19.5" customHeight="1">
      <c r="B83" s="42"/>
      <c r="C83" s="179"/>
      <c r="D83" s="261"/>
      <c r="E83" s="185" t="s">
        <v>32</v>
      </c>
      <c r="F83" s="287" t="s">
        <v>189</v>
      </c>
      <c r="G83" s="288"/>
      <c r="H83" s="238">
        <f>H81*G4/10^6</f>
        <v>0</v>
      </c>
      <c r="I83" s="240" t="s">
        <v>245</v>
      </c>
      <c r="K83" s="109" t="s">
        <v>230</v>
      </c>
      <c r="L83" s="139">
        <f>G4</f>
        <v>0</v>
      </c>
      <c r="Q83" s="7"/>
      <c r="R83" s="127"/>
    </row>
    <row r="84" spans="2:18" ht="19.5" hidden="1" customHeight="1">
      <c r="B84" s="42"/>
      <c r="C84" s="179"/>
      <c r="D84" s="43"/>
      <c r="E84" s="187"/>
      <c r="F84" s="289"/>
      <c r="G84" s="290"/>
      <c r="H84" s="239"/>
      <c r="I84" s="241"/>
      <c r="K84" s="127"/>
      <c r="L84" s="127"/>
      <c r="Q84" s="7"/>
      <c r="R84" s="127"/>
    </row>
    <row r="85" spans="2:18" ht="19.5" customHeight="1">
      <c r="B85" s="42"/>
      <c r="C85" s="179"/>
      <c r="D85" s="240" t="s">
        <v>197</v>
      </c>
      <c r="E85" s="9" t="s">
        <v>191</v>
      </c>
      <c r="F85" s="210" t="s">
        <v>319</v>
      </c>
      <c r="G85" s="211"/>
      <c r="H85" s="13">
        <f>26.96*D9</f>
        <v>0</v>
      </c>
      <c r="I85" s="10" t="s">
        <v>193</v>
      </c>
      <c r="K85" s="127"/>
      <c r="L85" s="127"/>
      <c r="Q85" s="7"/>
      <c r="R85" s="127"/>
    </row>
    <row r="86" spans="2:18" ht="19.5" customHeight="1">
      <c r="B86" s="42"/>
      <c r="C86" s="179"/>
      <c r="D86" s="241"/>
      <c r="E86" s="10" t="s">
        <v>32</v>
      </c>
      <c r="F86" s="281" t="s">
        <v>200</v>
      </c>
      <c r="G86" s="282"/>
      <c r="H86" s="2">
        <f>H85*G5/10^6</f>
        <v>0</v>
      </c>
      <c r="I86" s="10" t="s">
        <v>246</v>
      </c>
      <c r="K86" s="109" t="s">
        <v>230</v>
      </c>
      <c r="L86" s="139">
        <f>G5</f>
        <v>0</v>
      </c>
      <c r="O86" s="12"/>
      <c r="P86" s="112"/>
      <c r="Q86" s="112"/>
      <c r="R86" s="127"/>
    </row>
    <row r="87" spans="2:18" ht="19.5" customHeight="1">
      <c r="B87" s="42"/>
      <c r="C87" s="179"/>
      <c r="D87" s="240" t="s">
        <v>217</v>
      </c>
      <c r="E87" s="10" t="s">
        <v>198</v>
      </c>
      <c r="F87" s="281" t="s">
        <v>199</v>
      </c>
      <c r="G87" s="282"/>
      <c r="H87" s="2">
        <f>0.86*D9^0.404</f>
        <v>0</v>
      </c>
      <c r="I87" s="10" t="s">
        <v>193</v>
      </c>
      <c r="K87" s="15" t="s">
        <v>88</v>
      </c>
      <c r="L87" s="128">
        <f>$D$28</f>
        <v>360</v>
      </c>
      <c r="O87" s="12"/>
      <c r="P87" s="112"/>
      <c r="Q87" s="112"/>
      <c r="R87" s="127"/>
    </row>
    <row r="88" spans="2:18" ht="19.5" customHeight="1">
      <c r="B88" s="42"/>
      <c r="C88" s="179"/>
      <c r="D88" s="241"/>
      <c r="E88" s="43" t="s">
        <v>32</v>
      </c>
      <c r="F88" s="281" t="s">
        <v>201</v>
      </c>
      <c r="G88" s="282"/>
      <c r="H88" s="133">
        <f>H87*G6/10^6</f>
        <v>0</v>
      </c>
      <c r="I88" s="43" t="s">
        <v>247</v>
      </c>
      <c r="K88" s="109" t="s">
        <v>231</v>
      </c>
      <c r="L88" s="138">
        <f>G6</f>
        <v>0</v>
      </c>
      <c r="O88" s="12"/>
      <c r="P88" s="112"/>
      <c r="Q88" s="112"/>
      <c r="R88" s="127"/>
    </row>
    <row r="89" spans="2:18" ht="19.5" customHeight="1">
      <c r="B89" s="42"/>
      <c r="C89" s="179"/>
      <c r="D89" s="240" t="s">
        <v>218</v>
      </c>
      <c r="E89" s="43" t="s">
        <v>202</v>
      </c>
      <c r="F89" s="281" t="s">
        <v>203</v>
      </c>
      <c r="G89" s="282"/>
      <c r="H89" s="133">
        <f>4.51*D9^0.404</f>
        <v>0</v>
      </c>
      <c r="I89" s="43" t="s">
        <v>193</v>
      </c>
      <c r="O89" s="12"/>
      <c r="P89" s="112"/>
      <c r="Q89" s="112"/>
      <c r="R89" s="127"/>
    </row>
    <row r="90" spans="2:18" ht="19.5" customHeight="1">
      <c r="B90" s="42"/>
      <c r="C90" s="179"/>
      <c r="D90" s="241"/>
      <c r="E90" s="43" t="s">
        <v>110</v>
      </c>
      <c r="F90" s="281" t="s">
        <v>204</v>
      </c>
      <c r="G90" s="282"/>
      <c r="H90" s="133">
        <f>H89*G8*10^-6</f>
        <v>0</v>
      </c>
      <c r="I90" s="43" t="s">
        <v>49</v>
      </c>
      <c r="K90" s="109" t="s">
        <v>231</v>
      </c>
      <c r="L90" s="138">
        <f>G8</f>
        <v>0</v>
      </c>
      <c r="O90" s="12"/>
      <c r="P90" s="112"/>
      <c r="Q90" s="112"/>
      <c r="R90" s="127"/>
    </row>
    <row r="91" spans="2:18" ht="19.5" customHeight="1">
      <c r="B91" s="42"/>
      <c r="C91" s="179"/>
      <c r="D91" s="240" t="s">
        <v>219</v>
      </c>
      <c r="E91" s="43" t="s">
        <v>206</v>
      </c>
      <c r="F91" s="281" t="s">
        <v>207</v>
      </c>
      <c r="G91" s="282"/>
      <c r="H91" s="133">
        <f>1.59*D9^0.404</f>
        <v>0</v>
      </c>
      <c r="I91" s="43" t="s">
        <v>193</v>
      </c>
      <c r="O91" s="12"/>
      <c r="P91" s="112"/>
      <c r="Q91" s="112"/>
      <c r="R91" s="127"/>
    </row>
    <row r="92" spans="2:18" ht="19.5" customHeight="1">
      <c r="B92" s="42"/>
      <c r="C92" s="179"/>
      <c r="D92" s="241"/>
      <c r="E92" s="43" t="s">
        <v>110</v>
      </c>
      <c r="F92" s="281" t="s">
        <v>208</v>
      </c>
      <c r="G92" s="282"/>
      <c r="H92" s="133">
        <f>H91*G7/10^6</f>
        <v>0</v>
      </c>
      <c r="I92" s="43" t="s">
        <v>248</v>
      </c>
      <c r="K92" s="109" t="s">
        <v>231</v>
      </c>
      <c r="L92" s="138">
        <f>G7</f>
        <v>0</v>
      </c>
      <c r="O92" s="12"/>
      <c r="P92" s="112"/>
      <c r="Q92" s="112"/>
      <c r="R92" s="127"/>
    </row>
    <row r="93" spans="2:18" ht="19.5" customHeight="1">
      <c r="B93" s="42"/>
      <c r="C93" s="179"/>
      <c r="D93" s="240" t="s">
        <v>220</v>
      </c>
      <c r="E93" s="43" t="s">
        <v>209</v>
      </c>
      <c r="F93" s="281" t="s">
        <v>210</v>
      </c>
      <c r="G93" s="282"/>
      <c r="H93" s="133">
        <f>2.484*D9^0.934</f>
        <v>0</v>
      </c>
      <c r="I93" s="43" t="s">
        <v>193</v>
      </c>
      <c r="O93" s="12"/>
      <c r="P93" s="112"/>
      <c r="Q93" s="112"/>
      <c r="R93" s="127"/>
    </row>
    <row r="94" spans="2:18" ht="19.5" customHeight="1">
      <c r="B94" s="42"/>
      <c r="C94" s="179"/>
      <c r="D94" s="241"/>
      <c r="E94" s="43" t="s">
        <v>110</v>
      </c>
      <c r="F94" s="281" t="s">
        <v>211</v>
      </c>
      <c r="G94" s="282"/>
      <c r="H94" s="104">
        <f>H93*G9/10^6</f>
        <v>0</v>
      </c>
      <c r="I94" s="43" t="s">
        <v>184</v>
      </c>
      <c r="K94" s="109" t="s">
        <v>231</v>
      </c>
      <c r="L94" s="138">
        <f>G9</f>
        <v>0</v>
      </c>
      <c r="O94" s="12"/>
      <c r="P94" s="112"/>
      <c r="Q94" s="112"/>
      <c r="R94" s="127"/>
    </row>
    <row r="95" spans="2:18" ht="19.5" customHeight="1">
      <c r="B95" s="42"/>
      <c r="C95" s="179"/>
      <c r="D95" s="240" t="s">
        <v>227</v>
      </c>
      <c r="E95" s="164" t="s">
        <v>346</v>
      </c>
      <c r="F95" s="281" t="s">
        <v>228</v>
      </c>
      <c r="G95" s="282"/>
      <c r="H95" s="115">
        <f>436.59*D9^0.893</f>
        <v>0</v>
      </c>
      <c r="I95" s="43" t="s">
        <v>193</v>
      </c>
      <c r="O95" s="12"/>
      <c r="P95" s="112"/>
      <c r="Q95" s="112"/>
      <c r="R95" s="127"/>
    </row>
    <row r="96" spans="2:18" ht="19.5" customHeight="1">
      <c r="B96" s="42"/>
      <c r="C96" s="179"/>
      <c r="D96" s="241"/>
      <c r="E96" s="43" t="s">
        <v>110</v>
      </c>
      <c r="F96" s="281" t="s">
        <v>347</v>
      </c>
      <c r="G96" s="282"/>
      <c r="H96" s="104">
        <f>H95*G10/10^6</f>
        <v>0</v>
      </c>
      <c r="I96" s="43" t="s">
        <v>185</v>
      </c>
      <c r="K96" s="109" t="s">
        <v>231</v>
      </c>
      <c r="L96" s="138">
        <f>G10</f>
        <v>0</v>
      </c>
      <c r="O96" s="12"/>
      <c r="P96" s="112"/>
      <c r="Q96" s="112"/>
      <c r="R96" s="127"/>
    </row>
    <row r="97" spans="2:18" ht="19.5" customHeight="1">
      <c r="B97" s="42"/>
      <c r="C97" s="179"/>
      <c r="D97" s="118" t="s">
        <v>87</v>
      </c>
      <c r="E97" s="109" t="s">
        <v>32</v>
      </c>
      <c r="F97" s="210" t="s">
        <v>229</v>
      </c>
      <c r="G97" s="211"/>
      <c r="H97" s="2">
        <f>(H68+H69)*0.015+H67*0.005</f>
        <v>0</v>
      </c>
      <c r="I97" s="10" t="s">
        <v>194</v>
      </c>
      <c r="O97" s="280"/>
      <c r="P97" s="280"/>
      <c r="Q97" s="112"/>
      <c r="R97" s="127"/>
    </row>
    <row r="98" spans="2:18" ht="19.5" customHeight="1">
      <c r="B98" s="42"/>
      <c r="C98" s="179"/>
      <c r="D98" s="118" t="s">
        <v>233</v>
      </c>
      <c r="E98" s="109" t="s">
        <v>234</v>
      </c>
      <c r="F98" s="210" t="s">
        <v>236</v>
      </c>
      <c r="G98" s="211"/>
      <c r="H98" s="2">
        <f>H48*D27/10^6</f>
        <v>0</v>
      </c>
      <c r="I98" s="10" t="s">
        <v>195</v>
      </c>
      <c r="O98" s="112"/>
      <c r="P98" s="112"/>
      <c r="Q98" s="112"/>
      <c r="R98" s="127"/>
    </row>
    <row r="99" spans="2:18" ht="19.5" customHeight="1">
      <c r="B99" s="42"/>
      <c r="C99" s="180"/>
      <c r="D99" s="118" t="s">
        <v>304</v>
      </c>
      <c r="E99" s="109" t="s">
        <v>305</v>
      </c>
      <c r="F99" s="210" t="s">
        <v>34</v>
      </c>
      <c r="G99" s="211"/>
      <c r="H99" s="2">
        <v>64.7</v>
      </c>
      <c r="I99" s="10" t="s">
        <v>318</v>
      </c>
      <c r="O99" s="112"/>
      <c r="P99" s="112"/>
      <c r="Q99" s="112"/>
      <c r="R99" s="127"/>
    </row>
    <row r="100" spans="2:18" ht="19.5" customHeight="1">
      <c r="B100" s="42"/>
      <c r="C100" s="41" t="s">
        <v>306</v>
      </c>
      <c r="D100" s="131" t="s">
        <v>4</v>
      </c>
      <c r="E100" s="185" t="s">
        <v>110</v>
      </c>
      <c r="F100" s="188" t="s">
        <v>310</v>
      </c>
      <c r="G100" s="189"/>
      <c r="H100" s="132"/>
      <c r="I100" s="219" t="s">
        <v>317</v>
      </c>
      <c r="O100" s="112"/>
      <c r="P100" s="112"/>
      <c r="Q100" s="112"/>
      <c r="R100" s="127"/>
    </row>
    <row r="101" spans="2:18" ht="19.5" customHeight="1">
      <c r="B101" s="42"/>
      <c r="C101" s="42"/>
      <c r="D101" s="131" t="s">
        <v>307</v>
      </c>
      <c r="E101" s="186"/>
      <c r="F101" s="190"/>
      <c r="G101" s="191"/>
      <c r="H101" s="151">
        <f>0.039*(H40*365/0.01)^0.596</f>
        <v>0</v>
      </c>
      <c r="I101" s="220"/>
      <c r="O101" s="112"/>
      <c r="P101" s="112"/>
      <c r="Q101" s="112"/>
      <c r="R101" s="127"/>
    </row>
    <row r="102" spans="2:18" ht="19.5" customHeight="1">
      <c r="B102" s="42"/>
      <c r="C102" s="43"/>
      <c r="D102" s="131"/>
      <c r="E102" s="187"/>
      <c r="F102" s="192"/>
      <c r="G102" s="193"/>
      <c r="H102" s="133"/>
      <c r="I102" s="221"/>
      <c r="O102" s="112"/>
      <c r="P102" s="112"/>
      <c r="Q102" s="112"/>
      <c r="R102" s="127"/>
    </row>
    <row r="103" spans="2:18" ht="19.5" customHeight="1">
      <c r="B103" s="42"/>
      <c r="C103" s="148"/>
      <c r="D103" s="109" t="s">
        <v>10</v>
      </c>
      <c r="E103" s="109" t="s">
        <v>32</v>
      </c>
      <c r="F103" s="210" t="s">
        <v>34</v>
      </c>
      <c r="G103" s="211"/>
      <c r="H103" s="2">
        <f>H75+H79+H83+H86+H88+H90+H92+H94+H96+H97+H98+H99+H101</f>
        <v>64.7</v>
      </c>
      <c r="I103" s="145" t="s">
        <v>367</v>
      </c>
      <c r="O103" s="112"/>
      <c r="P103" s="112"/>
      <c r="Q103" s="112"/>
      <c r="R103" s="127"/>
    </row>
    <row r="104" spans="2:18" ht="19.5" customHeight="1">
      <c r="B104" s="42"/>
      <c r="C104" s="141" t="s">
        <v>237</v>
      </c>
      <c r="D104" s="142"/>
      <c r="E104" s="109" t="s">
        <v>32</v>
      </c>
      <c r="F104" s="210" t="s">
        <v>34</v>
      </c>
      <c r="G104" s="211"/>
      <c r="H104" s="13">
        <f>+H71</f>
        <v>0</v>
      </c>
      <c r="I104" s="10" t="s">
        <v>368</v>
      </c>
      <c r="O104" s="112"/>
      <c r="P104" s="112"/>
      <c r="Q104" s="112"/>
      <c r="R104" s="112"/>
    </row>
    <row r="105" spans="2:18" ht="19.5" customHeight="1">
      <c r="B105" s="42"/>
      <c r="C105" s="141" t="s">
        <v>238</v>
      </c>
      <c r="D105" s="142"/>
      <c r="E105" s="109" t="s">
        <v>32</v>
      </c>
      <c r="F105" s="210" t="s">
        <v>34</v>
      </c>
      <c r="G105" s="211"/>
      <c r="H105" s="13">
        <f>+H103</f>
        <v>64.7</v>
      </c>
      <c r="I105" s="10" t="s">
        <v>369</v>
      </c>
      <c r="O105" s="112"/>
      <c r="P105" s="112"/>
      <c r="Q105" s="112"/>
      <c r="R105" s="112"/>
    </row>
    <row r="106" spans="2:18" ht="39" customHeight="1">
      <c r="B106" s="43"/>
      <c r="C106" s="277" t="s">
        <v>85</v>
      </c>
      <c r="D106" s="278"/>
      <c r="E106" s="109" t="s">
        <v>32</v>
      </c>
      <c r="F106" s="210" t="s">
        <v>34</v>
      </c>
      <c r="G106" s="211"/>
      <c r="H106" s="39">
        <f>+H104+H105</f>
        <v>64.7</v>
      </c>
      <c r="I106" s="8" t="s">
        <v>370</v>
      </c>
      <c r="O106" s="112"/>
      <c r="P106" s="112"/>
      <c r="Q106" s="112"/>
      <c r="R106" s="112"/>
    </row>
    <row r="107" spans="2:18" ht="39" customHeight="1">
      <c r="B107" s="212" t="s">
        <v>52</v>
      </c>
      <c r="C107" s="213"/>
      <c r="D107" s="279"/>
      <c r="E107" s="128" t="s">
        <v>50</v>
      </c>
      <c r="F107" s="210" t="s">
        <v>34</v>
      </c>
      <c r="G107" s="211"/>
      <c r="H107" s="143" t="e">
        <f>1-H106/H65</f>
        <v>#DIV/0!</v>
      </c>
      <c r="I107" s="10" t="s">
        <v>51</v>
      </c>
      <c r="O107" s="112"/>
      <c r="P107" s="112"/>
      <c r="Q107" s="112"/>
      <c r="R107" s="112"/>
    </row>
    <row r="108" spans="2:18" ht="19.5" customHeight="1">
      <c r="K108" s="137"/>
      <c r="L108" s="112"/>
      <c r="O108" s="112"/>
      <c r="P108" s="112"/>
      <c r="Q108" s="112"/>
      <c r="R108" s="112"/>
    </row>
    <row r="109" spans="2:18" ht="19.5" customHeight="1">
      <c r="B109" s="11" t="s">
        <v>240</v>
      </c>
      <c r="K109" s="127"/>
      <c r="L109" s="127"/>
      <c r="O109" s="112"/>
      <c r="P109" s="112"/>
      <c r="Q109" s="112"/>
      <c r="R109" s="112"/>
    </row>
    <row r="110" spans="2:18" ht="19.5" customHeight="1">
      <c r="B110" s="209" t="s">
        <v>16</v>
      </c>
      <c r="C110" s="209"/>
      <c r="D110" s="209"/>
      <c r="E110" s="109" t="s">
        <v>24</v>
      </c>
      <c r="F110" s="210" t="s">
        <v>23</v>
      </c>
      <c r="G110" s="211"/>
      <c r="H110" s="210" t="s">
        <v>14</v>
      </c>
      <c r="I110" s="211"/>
      <c r="K110" s="137"/>
      <c r="L110" s="112"/>
      <c r="O110" s="112"/>
      <c r="P110" s="112"/>
      <c r="Q110" s="112"/>
      <c r="R110" s="112"/>
    </row>
    <row r="111" spans="2:18" ht="19.5" customHeight="1">
      <c r="B111" s="268" t="s">
        <v>0</v>
      </c>
      <c r="C111" s="268"/>
      <c r="D111" s="118" t="s">
        <v>363</v>
      </c>
      <c r="E111" s="109" t="s">
        <v>21</v>
      </c>
      <c r="F111" s="269">
        <f>+H70</f>
        <v>0</v>
      </c>
      <c r="G111" s="270"/>
      <c r="H111" s="271" t="s">
        <v>320</v>
      </c>
      <c r="I111" s="272"/>
      <c r="O111" s="112"/>
      <c r="P111" s="112"/>
      <c r="Q111" s="112"/>
      <c r="R111" s="112"/>
    </row>
    <row r="112" spans="2:18" ht="19.5" customHeight="1">
      <c r="B112" s="268" t="s">
        <v>4</v>
      </c>
      <c r="C112" s="268"/>
      <c r="D112" s="118" t="s">
        <v>20</v>
      </c>
      <c r="E112" s="185" t="s">
        <v>22</v>
      </c>
      <c r="F112" s="273">
        <f>H103</f>
        <v>64.7</v>
      </c>
      <c r="G112" s="211"/>
      <c r="H112" s="274" t="s">
        <v>249</v>
      </c>
      <c r="I112" s="275"/>
      <c r="O112" s="112"/>
      <c r="P112" s="112"/>
      <c r="Q112" s="112"/>
      <c r="R112" s="112"/>
    </row>
    <row r="113" spans="2:18" ht="19.5" customHeight="1">
      <c r="B113" s="141" t="s">
        <v>19</v>
      </c>
      <c r="C113" s="142"/>
      <c r="D113" s="118" t="s">
        <v>239</v>
      </c>
      <c r="E113" s="187"/>
      <c r="F113" s="273">
        <f>G19*365*D11/10^6</f>
        <v>0</v>
      </c>
      <c r="G113" s="276"/>
      <c r="H113" s="274" t="s">
        <v>321</v>
      </c>
      <c r="I113" s="275"/>
      <c r="O113" s="112"/>
      <c r="P113" s="112"/>
      <c r="Q113" s="112"/>
      <c r="R113" s="112"/>
    </row>
    <row r="114" spans="2:18" ht="19.5" customHeight="1">
      <c r="B114" s="264" t="s">
        <v>18</v>
      </c>
      <c r="C114" s="265"/>
      <c r="D114" s="265"/>
      <c r="E114" s="128" t="s">
        <v>25</v>
      </c>
      <c r="F114" s="266">
        <f>F111/(F113-F112)</f>
        <v>0</v>
      </c>
      <c r="G114" s="267"/>
      <c r="H114" s="144" t="s">
        <v>241</v>
      </c>
      <c r="I114" s="111"/>
    </row>
    <row r="115" spans="2:18" ht="19.5" customHeight="1"/>
    <row r="116" spans="2:18" ht="39" customHeight="1">
      <c r="B116" s="11" t="s">
        <v>26</v>
      </c>
    </row>
    <row r="117" spans="2:18" ht="19.5" customHeight="1">
      <c r="B117" s="209" t="s">
        <v>16</v>
      </c>
      <c r="C117" s="209"/>
      <c r="D117" s="209"/>
      <c r="E117" s="109" t="s">
        <v>24</v>
      </c>
      <c r="F117" s="210" t="s">
        <v>36</v>
      </c>
      <c r="G117" s="211"/>
      <c r="H117" s="102" t="s">
        <v>41</v>
      </c>
      <c r="I117" s="109" t="s">
        <v>35</v>
      </c>
    </row>
    <row r="118" spans="2:18" ht="42" customHeight="1">
      <c r="B118" s="52" t="s">
        <v>1</v>
      </c>
      <c r="C118" s="53"/>
      <c r="D118" s="125" t="s">
        <v>27</v>
      </c>
      <c r="E118" s="16" t="s">
        <v>167</v>
      </c>
      <c r="F118" s="205" t="s">
        <v>250</v>
      </c>
      <c r="G118" s="206"/>
      <c r="H118" s="17">
        <f>100*G19*L118*L119*10^-3</f>
        <v>0</v>
      </c>
      <c r="I118" s="18" t="s">
        <v>72</v>
      </c>
      <c r="K118" s="15" t="s">
        <v>88</v>
      </c>
      <c r="L118" s="128">
        <f>G25</f>
        <v>300</v>
      </c>
    </row>
    <row r="119" spans="2:18" ht="39.75" customHeight="1">
      <c r="B119" s="54"/>
      <c r="C119" s="55"/>
      <c r="D119" s="120" t="s">
        <v>64</v>
      </c>
      <c r="E119" s="16" t="s">
        <v>167</v>
      </c>
      <c r="F119" s="170" t="s">
        <v>252</v>
      </c>
      <c r="G119" s="171"/>
      <c r="H119" s="17" t="e">
        <f>G13*L118*24*J12*10^-3</f>
        <v>#VALUE!</v>
      </c>
      <c r="I119" s="18" t="s">
        <v>42</v>
      </c>
      <c r="K119" s="9" t="s">
        <v>251</v>
      </c>
      <c r="L119" s="128">
        <v>9.68</v>
      </c>
    </row>
    <row r="120" spans="2:18" ht="39.75" customHeight="1">
      <c r="B120" s="54"/>
      <c r="C120" s="55"/>
      <c r="D120" s="120" t="s">
        <v>258</v>
      </c>
      <c r="E120" s="124" t="s">
        <v>261</v>
      </c>
      <c r="F120" s="174" t="s">
        <v>371</v>
      </c>
      <c r="G120" s="175"/>
      <c r="H120" s="17">
        <f>62.9*2*D9*L118*G21/100/10</f>
        <v>0</v>
      </c>
      <c r="I120" s="18" t="s">
        <v>262</v>
      </c>
      <c r="K120" s="113"/>
      <c r="L120" s="112"/>
    </row>
    <row r="121" spans="2:18" ht="39.75" customHeight="1">
      <c r="B121" s="54"/>
      <c r="C121" s="55"/>
      <c r="D121" s="126"/>
      <c r="E121" s="124" t="s">
        <v>263</v>
      </c>
      <c r="F121" s="174" t="s">
        <v>264</v>
      </c>
      <c r="G121" s="175"/>
      <c r="H121" s="17">
        <f>H120/5</f>
        <v>0</v>
      </c>
      <c r="I121" s="18" t="s">
        <v>265</v>
      </c>
      <c r="K121" s="113"/>
      <c r="L121" s="112"/>
    </row>
    <row r="122" spans="2:18" ht="39.75" customHeight="1">
      <c r="B122" s="54"/>
      <c r="C122" s="55"/>
      <c r="D122" s="126"/>
      <c r="E122" s="16" t="s">
        <v>167</v>
      </c>
      <c r="F122" s="174" t="s">
        <v>266</v>
      </c>
      <c r="G122" s="175"/>
      <c r="H122" s="17">
        <f>H121*D12/10^3</f>
        <v>0</v>
      </c>
      <c r="I122" s="18" t="s">
        <v>268</v>
      </c>
      <c r="K122" s="113"/>
      <c r="L122" s="112"/>
    </row>
    <row r="123" spans="2:18" ht="39.75" customHeight="1">
      <c r="B123" s="54"/>
      <c r="C123" s="55"/>
      <c r="D123" s="120" t="s">
        <v>259</v>
      </c>
      <c r="E123" s="16" t="s">
        <v>167</v>
      </c>
      <c r="F123" s="174" t="s">
        <v>270</v>
      </c>
      <c r="G123" s="175"/>
      <c r="H123" s="17">
        <f>15*G19*365*L119*10^-3</f>
        <v>0</v>
      </c>
      <c r="I123" s="18" t="s">
        <v>269</v>
      </c>
      <c r="K123" s="113"/>
      <c r="L123" s="112"/>
    </row>
    <row r="124" spans="2:18" ht="39.75" customHeight="1">
      <c r="B124" s="54"/>
      <c r="C124" s="55"/>
      <c r="D124" s="120" t="s">
        <v>260</v>
      </c>
      <c r="E124" s="16" t="s">
        <v>167</v>
      </c>
      <c r="F124" s="170" t="s">
        <v>271</v>
      </c>
      <c r="G124" s="171"/>
      <c r="H124" s="17">
        <f>0.47/100*D9*365*D13*10^-3</f>
        <v>0</v>
      </c>
      <c r="I124" s="18" t="s">
        <v>272</v>
      </c>
      <c r="K124" s="113"/>
      <c r="L124" s="112"/>
    </row>
    <row r="125" spans="2:18" ht="19.5" customHeight="1">
      <c r="B125" s="56"/>
      <c r="C125" s="57"/>
      <c r="D125" s="16" t="s">
        <v>5</v>
      </c>
      <c r="E125" s="16" t="s">
        <v>167</v>
      </c>
      <c r="F125" s="203" t="s">
        <v>34</v>
      </c>
      <c r="G125" s="204"/>
      <c r="H125" s="17" t="e">
        <f>H118+H119</f>
        <v>#VALUE!</v>
      </c>
      <c r="I125" s="18" t="s">
        <v>286</v>
      </c>
    </row>
    <row r="126" spans="2:18" ht="34.5" customHeight="1">
      <c r="B126" s="244" t="s">
        <v>7</v>
      </c>
      <c r="C126" s="245"/>
      <c r="D126" s="18" t="s">
        <v>27</v>
      </c>
      <c r="E126" s="34" t="s">
        <v>167</v>
      </c>
      <c r="F126" s="250" t="s">
        <v>254</v>
      </c>
      <c r="G126" s="251"/>
      <c r="H126" s="17">
        <f>H73*10^3*L119*10^-3</f>
        <v>0</v>
      </c>
      <c r="I126" s="18" t="s">
        <v>287</v>
      </c>
    </row>
    <row r="127" spans="2:18" ht="19.5" customHeight="1">
      <c r="B127" s="246"/>
      <c r="C127" s="247"/>
      <c r="D127" s="118" t="s">
        <v>221</v>
      </c>
      <c r="E127" s="9" t="s">
        <v>167</v>
      </c>
      <c r="F127" s="252" t="s">
        <v>168</v>
      </c>
      <c r="G127" s="253"/>
      <c r="H127" s="97">
        <f>3248.5*D9</f>
        <v>0</v>
      </c>
      <c r="I127" s="116" t="s">
        <v>288</v>
      </c>
      <c r="O127" s="112"/>
      <c r="P127" s="112"/>
      <c r="Q127" s="7"/>
      <c r="R127" s="127"/>
    </row>
    <row r="128" spans="2:18" ht="19.5" customHeight="1">
      <c r="B128" s="246"/>
      <c r="C128" s="247"/>
      <c r="D128" s="116" t="s">
        <v>222</v>
      </c>
      <c r="E128" s="134" t="s">
        <v>167</v>
      </c>
      <c r="F128" s="254" t="s">
        <v>170</v>
      </c>
      <c r="G128" s="255"/>
      <c r="H128" s="258">
        <f>D10*H43*(D19/(100-D19)-D21/(100-D21))/(D20/100)/1000</f>
        <v>0</v>
      </c>
      <c r="I128" s="100"/>
      <c r="O128" s="112"/>
      <c r="P128" s="112"/>
      <c r="Q128" s="7"/>
      <c r="R128" s="127"/>
    </row>
    <row r="129" spans="2:18" ht="19.5" customHeight="1">
      <c r="B129" s="246"/>
      <c r="C129" s="247"/>
      <c r="D129" s="116"/>
      <c r="E129" s="134"/>
      <c r="F129" s="254"/>
      <c r="G129" s="255"/>
      <c r="H129" s="259"/>
      <c r="I129" s="116" t="s">
        <v>289</v>
      </c>
      <c r="O129" s="112"/>
      <c r="P129" s="112"/>
      <c r="Q129" s="7"/>
      <c r="R129" s="127"/>
    </row>
    <row r="130" spans="2:18" ht="19.5" customHeight="1">
      <c r="B130" s="246"/>
      <c r="C130" s="247"/>
      <c r="D130" s="101"/>
      <c r="E130" s="117"/>
      <c r="F130" s="256"/>
      <c r="G130" s="257"/>
      <c r="H130" s="260"/>
      <c r="I130" s="101"/>
      <c r="O130" s="112"/>
      <c r="P130" s="112"/>
      <c r="Q130" s="7"/>
      <c r="R130" s="127"/>
    </row>
    <row r="131" spans="2:18" ht="19.5" customHeight="1">
      <c r="B131" s="246"/>
      <c r="C131" s="247"/>
      <c r="D131" s="118" t="s">
        <v>223</v>
      </c>
      <c r="E131" s="9" t="s">
        <v>167</v>
      </c>
      <c r="F131" s="252" t="s">
        <v>171</v>
      </c>
      <c r="G131" s="253"/>
      <c r="H131" s="97">
        <f>784.75*D9</f>
        <v>0</v>
      </c>
      <c r="I131" s="118" t="s">
        <v>242</v>
      </c>
      <c r="K131" s="113"/>
      <c r="L131" s="112"/>
      <c r="O131" s="112"/>
      <c r="P131" s="112"/>
      <c r="Q131" s="7"/>
      <c r="R131" s="127"/>
    </row>
    <row r="132" spans="2:18" ht="19.5" customHeight="1">
      <c r="B132" s="246"/>
      <c r="C132" s="247"/>
      <c r="D132" s="109" t="s">
        <v>176</v>
      </c>
      <c r="E132" s="9" t="s">
        <v>167</v>
      </c>
      <c r="F132" s="252" t="s">
        <v>177</v>
      </c>
      <c r="G132" s="253"/>
      <c r="H132" s="107">
        <f>H127+H128+H131</f>
        <v>0</v>
      </c>
      <c r="I132" s="100" t="s">
        <v>290</v>
      </c>
      <c r="K132" s="113"/>
      <c r="L132" s="112"/>
      <c r="O132" s="112"/>
      <c r="P132" s="112"/>
      <c r="Q132" s="7"/>
      <c r="R132" s="127"/>
    </row>
    <row r="133" spans="2:18" ht="19.5" customHeight="1">
      <c r="B133" s="246"/>
      <c r="C133" s="247"/>
      <c r="D133" s="219" t="s">
        <v>225</v>
      </c>
      <c r="E133" s="134" t="s">
        <v>167</v>
      </c>
      <c r="F133" s="262" t="s">
        <v>186</v>
      </c>
      <c r="G133" s="263"/>
      <c r="H133" s="258">
        <f>H33*D23*D24/100*D25*273/(273+15)*10832/10332</f>
        <v>0</v>
      </c>
      <c r="I133" s="231" t="s">
        <v>291</v>
      </c>
      <c r="K133" s="113"/>
      <c r="L133" s="112"/>
      <c r="O133" s="112"/>
      <c r="P133" s="112"/>
      <c r="Q133" s="7"/>
      <c r="R133" s="127"/>
    </row>
    <row r="134" spans="2:18" ht="19.5" customHeight="1">
      <c r="B134" s="246"/>
      <c r="C134" s="247"/>
      <c r="D134" s="261"/>
      <c r="E134" s="134"/>
      <c r="F134" s="254"/>
      <c r="G134" s="255"/>
      <c r="H134" s="259"/>
      <c r="I134" s="232"/>
      <c r="K134" s="113"/>
      <c r="L134" s="112"/>
      <c r="O134" s="112"/>
      <c r="P134" s="112"/>
      <c r="Q134" s="7"/>
      <c r="R134" s="127"/>
    </row>
    <row r="135" spans="2:18" ht="19.5" customHeight="1">
      <c r="B135" s="246"/>
      <c r="C135" s="247"/>
      <c r="D135" s="261"/>
      <c r="E135" s="134"/>
      <c r="F135" s="254"/>
      <c r="G135" s="255"/>
      <c r="H135" s="259"/>
      <c r="I135" s="232"/>
      <c r="K135" s="113"/>
      <c r="L135" s="112"/>
      <c r="O135" s="112"/>
      <c r="P135" s="112"/>
      <c r="Q135" s="7"/>
      <c r="R135" s="127"/>
    </row>
    <row r="136" spans="2:18" ht="19.5" customHeight="1">
      <c r="B136" s="246"/>
      <c r="C136" s="247"/>
      <c r="D136" s="241"/>
      <c r="E136" s="117"/>
      <c r="F136" s="256"/>
      <c r="G136" s="257"/>
      <c r="H136" s="260"/>
      <c r="I136" s="233"/>
      <c r="K136" s="127"/>
      <c r="L136" s="127"/>
      <c r="O136" s="112"/>
      <c r="P136" s="112"/>
      <c r="Q136" s="7"/>
      <c r="R136" s="127"/>
    </row>
    <row r="137" spans="2:18" ht="19.5" customHeight="1">
      <c r="B137" s="246"/>
      <c r="C137" s="247"/>
      <c r="D137" s="118" t="s">
        <v>226</v>
      </c>
      <c r="E137" s="9" t="s">
        <v>167</v>
      </c>
      <c r="F137" s="234" t="s">
        <v>175</v>
      </c>
      <c r="G137" s="235"/>
      <c r="H137" s="97">
        <f>399.44*D9</f>
        <v>0</v>
      </c>
      <c r="I137" s="99" t="s">
        <v>292</v>
      </c>
      <c r="K137" s="137"/>
      <c r="L137" s="112"/>
      <c r="O137" s="112"/>
      <c r="P137" s="112"/>
      <c r="Q137" s="7"/>
      <c r="R137" s="127"/>
    </row>
    <row r="138" spans="2:18" ht="19.5" customHeight="1">
      <c r="B138" s="246"/>
      <c r="C138" s="247"/>
      <c r="D138" s="44" t="s">
        <v>178</v>
      </c>
      <c r="E138" s="134" t="s">
        <v>167</v>
      </c>
      <c r="F138" s="234" t="s">
        <v>177</v>
      </c>
      <c r="G138" s="235"/>
      <c r="H138" s="108">
        <f>H133+H137</f>
        <v>0</v>
      </c>
      <c r="I138" s="98" t="s">
        <v>293</v>
      </c>
      <c r="K138" s="137"/>
      <c r="L138" s="112"/>
      <c r="O138" s="112"/>
      <c r="P138" s="112"/>
      <c r="Q138" s="7"/>
      <c r="R138" s="127"/>
    </row>
    <row r="139" spans="2:18" ht="19.5" customHeight="1">
      <c r="B139" s="246"/>
      <c r="C139" s="247"/>
      <c r="D139" s="185" t="s">
        <v>255</v>
      </c>
      <c r="E139" s="236" t="s">
        <v>167</v>
      </c>
      <c r="F139" s="188" t="s">
        <v>177</v>
      </c>
      <c r="G139" s="189"/>
      <c r="H139" s="238">
        <f>H132-H138</f>
        <v>0</v>
      </c>
      <c r="I139" s="240" t="s">
        <v>294</v>
      </c>
      <c r="K139" s="127"/>
      <c r="L139" s="127"/>
      <c r="O139" s="112"/>
      <c r="P139" s="112"/>
      <c r="Q139" s="7"/>
      <c r="R139" s="127"/>
    </row>
    <row r="140" spans="2:18" ht="19.5" customHeight="1">
      <c r="B140" s="246"/>
      <c r="C140" s="247"/>
      <c r="D140" s="187"/>
      <c r="E140" s="237"/>
      <c r="F140" s="192"/>
      <c r="G140" s="193"/>
      <c r="H140" s="239"/>
      <c r="I140" s="241"/>
      <c r="O140" s="29"/>
      <c r="P140" s="29"/>
      <c r="Q140" s="7"/>
      <c r="R140" s="127"/>
    </row>
    <row r="141" spans="2:18" ht="39" customHeight="1">
      <c r="B141" s="246"/>
      <c r="C141" s="247"/>
      <c r="D141" s="121" t="s">
        <v>256</v>
      </c>
      <c r="E141" s="16" t="s">
        <v>167</v>
      </c>
      <c r="F141" s="170" t="s">
        <v>257</v>
      </c>
      <c r="G141" s="171"/>
      <c r="H141" s="17">
        <f>H139</f>
        <v>0</v>
      </c>
      <c r="I141" s="18" t="s">
        <v>295</v>
      </c>
    </row>
    <row r="142" spans="2:18" ht="39" customHeight="1">
      <c r="B142" s="246"/>
      <c r="C142" s="247"/>
      <c r="D142" s="121" t="s">
        <v>275</v>
      </c>
      <c r="E142" s="16" t="s">
        <v>167</v>
      </c>
      <c r="F142" s="174" t="s">
        <v>280</v>
      </c>
      <c r="G142" s="175"/>
      <c r="H142" s="17">
        <f>15*H45*L119*10^-3</f>
        <v>0</v>
      </c>
      <c r="I142" s="18" t="s">
        <v>296</v>
      </c>
    </row>
    <row r="143" spans="2:18" ht="39" customHeight="1">
      <c r="B143" s="246"/>
      <c r="C143" s="247"/>
      <c r="D143" s="121" t="s">
        <v>276</v>
      </c>
      <c r="E143" s="16" t="s">
        <v>167</v>
      </c>
      <c r="F143" s="174" t="s">
        <v>281</v>
      </c>
      <c r="G143" s="175"/>
      <c r="H143" s="17">
        <f>(1.71+2.86)*D9*D13*10^-3</f>
        <v>0</v>
      </c>
      <c r="I143" s="18" t="s">
        <v>327</v>
      </c>
    </row>
    <row r="144" spans="2:18" ht="39" customHeight="1">
      <c r="B144" s="246"/>
      <c r="C144" s="247"/>
      <c r="D144" s="121" t="s">
        <v>277</v>
      </c>
      <c r="E144" s="16" t="s">
        <v>167</v>
      </c>
      <c r="F144" s="170" t="s">
        <v>322</v>
      </c>
      <c r="G144" s="171"/>
      <c r="H144" s="17">
        <f>26.92*D9*D14*10^-3</f>
        <v>0</v>
      </c>
      <c r="I144" s="18" t="s">
        <v>297</v>
      </c>
    </row>
    <row r="145" spans="2:16" ht="39.75" customHeight="1">
      <c r="B145" s="246"/>
      <c r="C145" s="247"/>
      <c r="D145" s="120" t="s">
        <v>282</v>
      </c>
      <c r="E145" s="124" t="s">
        <v>261</v>
      </c>
      <c r="F145" s="174" t="s">
        <v>372</v>
      </c>
      <c r="G145" s="175"/>
      <c r="H145" s="17">
        <f>62.9*2*H48/10</f>
        <v>0</v>
      </c>
      <c r="I145" s="18" t="s">
        <v>298</v>
      </c>
      <c r="K145" s="113"/>
      <c r="L145" s="112"/>
    </row>
    <row r="146" spans="2:16" ht="39.75" customHeight="1">
      <c r="B146" s="246"/>
      <c r="C146" s="247"/>
      <c r="D146" s="126"/>
      <c r="E146" s="124" t="s">
        <v>263</v>
      </c>
      <c r="F146" s="170" t="s">
        <v>264</v>
      </c>
      <c r="G146" s="171"/>
      <c r="H146" s="17">
        <f>H145/5</f>
        <v>0</v>
      </c>
      <c r="I146" s="18" t="s">
        <v>299</v>
      </c>
      <c r="K146" s="113"/>
      <c r="L146" s="112"/>
    </row>
    <row r="147" spans="2:16" ht="39.75" customHeight="1">
      <c r="B147" s="246"/>
      <c r="C147" s="247"/>
      <c r="D147" s="126"/>
      <c r="E147" s="16" t="s">
        <v>167</v>
      </c>
      <c r="F147" s="170" t="s">
        <v>266</v>
      </c>
      <c r="G147" s="171"/>
      <c r="H147" s="17">
        <f>H146*D12/10^3</f>
        <v>0</v>
      </c>
      <c r="I147" s="18" t="s">
        <v>300</v>
      </c>
      <c r="K147" s="113"/>
      <c r="L147" s="112"/>
    </row>
    <row r="148" spans="2:16" ht="19.5" customHeight="1">
      <c r="B148" s="246"/>
      <c r="C148" s="247"/>
      <c r="D148" s="21" t="s">
        <v>5</v>
      </c>
      <c r="E148" s="16" t="s">
        <v>167</v>
      </c>
      <c r="F148" s="203" t="s">
        <v>34</v>
      </c>
      <c r="G148" s="204"/>
      <c r="H148" s="17">
        <f>H126+H141+H142+H143+H144+H147</f>
        <v>0</v>
      </c>
      <c r="I148" s="18" t="s">
        <v>301</v>
      </c>
    </row>
    <row r="149" spans="2:16" ht="39.75" customHeight="1">
      <c r="B149" s="248"/>
      <c r="C149" s="249"/>
      <c r="D149" s="125" t="s">
        <v>283</v>
      </c>
      <c r="E149" s="21" t="s">
        <v>167</v>
      </c>
      <c r="F149" s="205" t="s">
        <v>285</v>
      </c>
      <c r="G149" s="206"/>
      <c r="H149" s="17">
        <f>H48*10^3*D22*10^-3</f>
        <v>0</v>
      </c>
      <c r="I149" s="18" t="s">
        <v>302</v>
      </c>
    </row>
    <row r="150" spans="2:16" ht="19.5" customHeight="1">
      <c r="B150" s="207" t="s">
        <v>26</v>
      </c>
      <c r="C150" s="208"/>
      <c r="D150" s="208"/>
      <c r="E150" s="35" t="s">
        <v>50</v>
      </c>
      <c r="F150" s="203" t="s">
        <v>34</v>
      </c>
      <c r="G150" s="204"/>
      <c r="H150" s="40" t="e">
        <f>1-(H148-H149)/H125</f>
        <v>#VALUE!</v>
      </c>
      <c r="I150" s="18" t="s">
        <v>303</v>
      </c>
    </row>
    <row r="151" spans="2:16" ht="19.5" customHeight="1"/>
    <row r="152" spans="2:16" ht="58.5" customHeight="1">
      <c r="B152" s="11" t="s">
        <v>28</v>
      </c>
    </row>
    <row r="153" spans="2:16" ht="19.5" customHeight="1">
      <c r="B153" s="209" t="s">
        <v>16</v>
      </c>
      <c r="C153" s="209"/>
      <c r="D153" s="209"/>
      <c r="E153" s="109" t="s">
        <v>24</v>
      </c>
      <c r="F153" s="210" t="s">
        <v>36</v>
      </c>
      <c r="G153" s="211"/>
      <c r="H153" s="102" t="s">
        <v>29</v>
      </c>
      <c r="I153" s="109" t="s">
        <v>14</v>
      </c>
    </row>
    <row r="154" spans="2:16" ht="39" customHeight="1">
      <c r="B154" s="152" t="s">
        <v>13</v>
      </c>
      <c r="C154" s="153"/>
      <c r="D154" s="118" t="s">
        <v>30</v>
      </c>
      <c r="E154" s="9" t="s">
        <v>40</v>
      </c>
      <c r="F154" s="228" t="s">
        <v>323</v>
      </c>
      <c r="G154" s="229"/>
      <c r="H154" s="119">
        <f>100*G19*G25*0.000555</f>
        <v>0</v>
      </c>
      <c r="I154" s="10" t="s">
        <v>37</v>
      </c>
    </row>
    <row r="155" spans="2:16" ht="19.5" customHeight="1">
      <c r="B155" s="149"/>
      <c r="C155" s="154"/>
      <c r="D155" s="230" t="s">
        <v>54</v>
      </c>
      <c r="E155" s="197" t="s">
        <v>93</v>
      </c>
      <c r="F155" s="222" t="s">
        <v>101</v>
      </c>
      <c r="G155" s="223"/>
      <c r="H155" s="226" t="e">
        <f>G13*G25*24*J13*10^-3</f>
        <v>#VALUE!</v>
      </c>
      <c r="I155" s="194" t="s">
        <v>42</v>
      </c>
      <c r="K155" s="15" t="s">
        <v>88</v>
      </c>
      <c r="L155" s="128">
        <f>G25</f>
        <v>300</v>
      </c>
    </row>
    <row r="156" spans="2:16" ht="58.5" customHeight="1">
      <c r="B156" s="149"/>
      <c r="C156" s="154"/>
      <c r="D156" s="196"/>
      <c r="E156" s="198"/>
      <c r="F156" s="224"/>
      <c r="G156" s="225"/>
      <c r="H156" s="227"/>
      <c r="I156" s="196"/>
      <c r="K156" s="9" t="s">
        <v>91</v>
      </c>
      <c r="L156" s="128">
        <v>0.27779999999999999</v>
      </c>
    </row>
    <row r="157" spans="2:16" ht="19.5" customHeight="1">
      <c r="B157" s="149"/>
      <c r="C157" s="154"/>
      <c r="D157" s="194" t="s">
        <v>94</v>
      </c>
      <c r="E157" s="197" t="s">
        <v>95</v>
      </c>
      <c r="F157" s="199" t="s">
        <v>74</v>
      </c>
      <c r="G157" s="200"/>
      <c r="H157" s="242">
        <f>0.000645*G19*G25</f>
        <v>0</v>
      </c>
      <c r="I157" s="194" t="s">
        <v>73</v>
      </c>
    </row>
    <row r="158" spans="2:16" ht="19.5" customHeight="1">
      <c r="B158" s="149"/>
      <c r="C158" s="154"/>
      <c r="D158" s="195"/>
      <c r="E158" s="198"/>
      <c r="F158" s="201"/>
      <c r="G158" s="202"/>
      <c r="H158" s="243"/>
      <c r="I158" s="196"/>
      <c r="K158" s="15" t="s">
        <v>88</v>
      </c>
      <c r="L158" s="128">
        <f>G25</f>
        <v>300</v>
      </c>
    </row>
    <row r="159" spans="2:16" ht="39" customHeight="1">
      <c r="B159" s="149"/>
      <c r="C159" s="154"/>
      <c r="D159" s="196"/>
      <c r="E159" s="34" t="s">
        <v>93</v>
      </c>
      <c r="F159" s="210" t="s">
        <v>75</v>
      </c>
      <c r="G159" s="211"/>
      <c r="H159" s="17">
        <f>H157*298</f>
        <v>0</v>
      </c>
      <c r="I159" s="18" t="s">
        <v>39</v>
      </c>
      <c r="P159" s="1" t="s">
        <v>96</v>
      </c>
    </row>
    <row r="160" spans="2:16" ht="39" customHeight="1">
      <c r="B160" s="176" t="s">
        <v>306</v>
      </c>
      <c r="C160" s="177"/>
      <c r="D160" s="121" t="s">
        <v>30</v>
      </c>
      <c r="E160" s="34" t="s">
        <v>93</v>
      </c>
      <c r="F160" s="174" t="s">
        <v>326</v>
      </c>
      <c r="G160" s="175"/>
      <c r="H160" s="17">
        <f>15*G19*365*0.000555</f>
        <v>0</v>
      </c>
      <c r="I160" s="18" t="s">
        <v>325</v>
      </c>
      <c r="P160" s="1"/>
    </row>
    <row r="161" spans="2:16" ht="39" customHeight="1">
      <c r="B161" s="155"/>
      <c r="C161" s="156"/>
      <c r="D161" s="121" t="s">
        <v>324</v>
      </c>
      <c r="E161" s="34" t="s">
        <v>93</v>
      </c>
      <c r="F161" s="174" t="s">
        <v>374</v>
      </c>
      <c r="G161" s="175"/>
      <c r="H161" s="17">
        <f>0.47/100*D9*365*6.5</f>
        <v>0</v>
      </c>
      <c r="I161" s="18" t="s">
        <v>38</v>
      </c>
      <c r="P161" s="1"/>
    </row>
    <row r="162" spans="2:16" ht="39" customHeight="1">
      <c r="B162" s="176" t="s">
        <v>328</v>
      </c>
      <c r="C162" s="177"/>
      <c r="D162" s="121" t="s">
        <v>349</v>
      </c>
      <c r="E162" s="34" t="s">
        <v>331</v>
      </c>
      <c r="F162" s="170" t="s">
        <v>333</v>
      </c>
      <c r="G162" s="171"/>
      <c r="H162" s="159">
        <f>H120*0.000014/1000</f>
        <v>0</v>
      </c>
      <c r="I162" s="157" t="s">
        <v>329</v>
      </c>
      <c r="P162" s="1"/>
    </row>
    <row r="163" spans="2:16" ht="39" customHeight="1">
      <c r="B163" s="65"/>
      <c r="C163" s="160"/>
      <c r="D163" s="121" t="s">
        <v>330</v>
      </c>
      <c r="E163" s="34" t="s">
        <v>332</v>
      </c>
      <c r="F163" s="170" t="s">
        <v>334</v>
      </c>
      <c r="G163" s="171"/>
      <c r="H163" s="159">
        <f>H120*0.000015/1000</f>
        <v>0</v>
      </c>
      <c r="I163" s="157" t="s">
        <v>329</v>
      </c>
      <c r="P163" s="1"/>
    </row>
    <row r="164" spans="2:16" ht="39" customHeight="1">
      <c r="B164" s="172"/>
      <c r="C164" s="173"/>
      <c r="D164" s="121" t="s">
        <v>335</v>
      </c>
      <c r="E164" s="34" t="s">
        <v>93</v>
      </c>
      <c r="F164" s="170" t="s">
        <v>359</v>
      </c>
      <c r="G164" s="171"/>
      <c r="H164" s="158">
        <f>H162*310+H163*21</f>
        <v>0</v>
      </c>
      <c r="I164" s="18" t="s">
        <v>58</v>
      </c>
      <c r="P164" s="1"/>
    </row>
    <row r="165" spans="2:16" ht="39" customHeight="1">
      <c r="B165" s="110"/>
      <c r="C165" s="111"/>
      <c r="D165" s="121" t="s">
        <v>336</v>
      </c>
      <c r="E165" s="34" t="s">
        <v>93</v>
      </c>
      <c r="F165" s="170" t="s">
        <v>373</v>
      </c>
      <c r="G165" s="171"/>
      <c r="H165" s="17">
        <f>H121*2.58*10^-3</f>
        <v>0</v>
      </c>
      <c r="I165" s="157" t="s">
        <v>337</v>
      </c>
      <c r="P165" s="1"/>
    </row>
    <row r="166" spans="2:16" ht="19.5" customHeight="1">
      <c r="B166" s="155"/>
      <c r="C166" s="156"/>
      <c r="D166" s="21" t="s">
        <v>5</v>
      </c>
      <c r="E166" s="34" t="s">
        <v>93</v>
      </c>
      <c r="F166" s="210" t="s">
        <v>34</v>
      </c>
      <c r="G166" s="211"/>
      <c r="H166" s="161" t="e">
        <f>+H154+H155+H159+H160+H161+H164+H165</f>
        <v>#VALUE!</v>
      </c>
      <c r="I166" s="18" t="s">
        <v>338</v>
      </c>
    </row>
    <row r="167" spans="2:16" ht="33" customHeight="1">
      <c r="B167" s="181" t="s">
        <v>7</v>
      </c>
      <c r="C167" s="182"/>
      <c r="D167" s="121" t="s">
        <v>30</v>
      </c>
      <c r="E167" s="34" t="s">
        <v>93</v>
      </c>
      <c r="F167" s="210" t="s">
        <v>339</v>
      </c>
      <c r="G167" s="211"/>
      <c r="H167" s="17">
        <f>H73*0.555</f>
        <v>0</v>
      </c>
      <c r="I167" s="18" t="s">
        <v>287</v>
      </c>
    </row>
    <row r="168" spans="2:16" ht="19.5" customHeight="1">
      <c r="B168" s="183"/>
      <c r="C168" s="184"/>
      <c r="D168" s="194" t="s">
        <v>340</v>
      </c>
      <c r="E168" s="197" t="s">
        <v>93</v>
      </c>
      <c r="F168" s="222" t="s">
        <v>341</v>
      </c>
      <c r="G168" s="223"/>
      <c r="H168" s="226">
        <f>H77*3</f>
        <v>0</v>
      </c>
      <c r="I168" s="194" t="s">
        <v>342</v>
      </c>
    </row>
    <row r="169" spans="2:16" ht="19.5" customHeight="1">
      <c r="B169" s="183"/>
      <c r="C169" s="184"/>
      <c r="D169" s="196"/>
      <c r="E169" s="198"/>
      <c r="F169" s="224"/>
      <c r="G169" s="225"/>
      <c r="H169" s="227"/>
      <c r="I169" s="196"/>
    </row>
    <row r="170" spans="2:16" ht="39" customHeight="1">
      <c r="B170" s="183"/>
      <c r="C170" s="184"/>
      <c r="D170" s="121" t="s">
        <v>324</v>
      </c>
      <c r="E170" s="34" t="s">
        <v>93</v>
      </c>
      <c r="F170" s="170" t="s">
        <v>375</v>
      </c>
      <c r="G170" s="171"/>
      <c r="H170" s="162">
        <f>0.47/100*D9*D28*6.5</f>
        <v>0</v>
      </c>
      <c r="I170" s="163" t="s">
        <v>343</v>
      </c>
    </row>
    <row r="171" spans="2:16" ht="39" customHeight="1">
      <c r="B171" s="183"/>
      <c r="C171" s="184"/>
      <c r="D171" s="125" t="s">
        <v>344</v>
      </c>
      <c r="E171" s="34" t="s">
        <v>93</v>
      </c>
      <c r="F171" s="170" t="s">
        <v>345</v>
      </c>
      <c r="G171" s="171"/>
      <c r="H171" s="162">
        <f>H95*0.002</f>
        <v>0</v>
      </c>
      <c r="I171" s="163" t="s">
        <v>348</v>
      </c>
    </row>
    <row r="172" spans="2:16" ht="39" customHeight="1">
      <c r="B172" s="183"/>
      <c r="C172" s="184"/>
      <c r="D172" s="125" t="s">
        <v>353</v>
      </c>
      <c r="E172" s="34" t="s">
        <v>350</v>
      </c>
      <c r="F172" s="170" t="s">
        <v>351</v>
      </c>
      <c r="G172" s="171"/>
      <c r="H172" s="165">
        <f>0.0237*D9*D28</f>
        <v>0</v>
      </c>
      <c r="I172" s="125" t="s">
        <v>355</v>
      </c>
      <c r="K172" s="15" t="s">
        <v>88</v>
      </c>
      <c r="L172" s="128">
        <f>D28</f>
        <v>360</v>
      </c>
    </row>
    <row r="173" spans="2:16" ht="39" customHeight="1">
      <c r="B173" s="183"/>
      <c r="C173" s="184"/>
      <c r="D173" s="125" t="s">
        <v>352</v>
      </c>
      <c r="E173" s="34" t="s">
        <v>93</v>
      </c>
      <c r="F173" s="170" t="s">
        <v>354</v>
      </c>
      <c r="G173" s="171"/>
      <c r="H173" s="162">
        <f>H172*310*10^-3</f>
        <v>0</v>
      </c>
      <c r="I173" s="125" t="s">
        <v>44</v>
      </c>
    </row>
    <row r="174" spans="2:16" ht="39" customHeight="1">
      <c r="B174" s="167"/>
      <c r="C174" s="168"/>
      <c r="D174" s="121" t="s">
        <v>361</v>
      </c>
      <c r="E174" s="34" t="s">
        <v>93</v>
      </c>
      <c r="F174" s="170" t="s">
        <v>379</v>
      </c>
      <c r="G174" s="171"/>
      <c r="H174" s="162">
        <f>-H149/28*2.41</f>
        <v>0</v>
      </c>
      <c r="I174" s="125" t="s">
        <v>45</v>
      </c>
    </row>
    <row r="175" spans="2:16" ht="39" customHeight="1">
      <c r="B175" s="176" t="s">
        <v>306</v>
      </c>
      <c r="C175" s="177"/>
      <c r="D175" s="121" t="s">
        <v>30</v>
      </c>
      <c r="E175" s="34" t="s">
        <v>93</v>
      </c>
      <c r="F175" s="174" t="s">
        <v>376</v>
      </c>
      <c r="G175" s="175"/>
      <c r="H175" s="162">
        <f>15*H45*0.00055</f>
        <v>0</v>
      </c>
      <c r="I175" s="125" t="s">
        <v>46</v>
      </c>
    </row>
    <row r="176" spans="2:16" ht="39" customHeight="1">
      <c r="B176" s="149"/>
      <c r="C176" s="154"/>
      <c r="D176" s="121" t="s">
        <v>324</v>
      </c>
      <c r="E176" s="34" t="s">
        <v>93</v>
      </c>
      <c r="F176" s="174" t="s">
        <v>377</v>
      </c>
      <c r="G176" s="175"/>
      <c r="H176" s="162">
        <f>1.56/100*H40*365*6.5</f>
        <v>0</v>
      </c>
      <c r="I176" s="125" t="s">
        <v>47</v>
      </c>
    </row>
    <row r="177" spans="2:18" ht="39" customHeight="1">
      <c r="B177" s="172"/>
      <c r="C177" s="173"/>
      <c r="D177" s="125" t="s">
        <v>356</v>
      </c>
      <c r="E177" s="34" t="s">
        <v>93</v>
      </c>
      <c r="F177" s="174" t="s">
        <v>378</v>
      </c>
      <c r="G177" s="175"/>
      <c r="H177" s="162">
        <f>14.3/100*H40*365*0.0308</f>
        <v>0</v>
      </c>
      <c r="I177" s="125" t="s">
        <v>48</v>
      </c>
    </row>
    <row r="178" spans="2:18" ht="39" customHeight="1">
      <c r="B178" s="176" t="s">
        <v>357</v>
      </c>
      <c r="C178" s="177"/>
      <c r="D178" s="121" t="s">
        <v>349</v>
      </c>
      <c r="E178" s="34" t="s">
        <v>331</v>
      </c>
      <c r="F178" s="170" t="s">
        <v>333</v>
      </c>
      <c r="G178" s="171"/>
      <c r="H178" s="159">
        <f>H145*0.000014/1000</f>
        <v>0</v>
      </c>
      <c r="I178" s="157" t="s">
        <v>358</v>
      </c>
      <c r="P178" s="1"/>
    </row>
    <row r="179" spans="2:18" ht="39" customHeight="1">
      <c r="B179" s="65"/>
      <c r="C179" s="160"/>
      <c r="D179" s="121" t="s">
        <v>330</v>
      </c>
      <c r="E179" s="34" t="s">
        <v>332</v>
      </c>
      <c r="F179" s="170" t="s">
        <v>334</v>
      </c>
      <c r="G179" s="171"/>
      <c r="H179" s="159">
        <f>H145*0.000015/1000</f>
        <v>0</v>
      </c>
      <c r="I179" s="157" t="s">
        <v>358</v>
      </c>
      <c r="P179" s="1"/>
    </row>
    <row r="180" spans="2:18" ht="39" customHeight="1">
      <c r="B180" s="172"/>
      <c r="C180" s="173"/>
      <c r="D180" s="121" t="s">
        <v>335</v>
      </c>
      <c r="E180" s="34" t="s">
        <v>93</v>
      </c>
      <c r="F180" s="170" t="s">
        <v>359</v>
      </c>
      <c r="G180" s="171"/>
      <c r="H180" s="158">
        <f>H178*310+H179*21</f>
        <v>0</v>
      </c>
      <c r="I180" s="18" t="s">
        <v>245</v>
      </c>
      <c r="P180" s="1"/>
    </row>
    <row r="181" spans="2:18" ht="39" customHeight="1">
      <c r="B181" s="110"/>
      <c r="C181" s="111"/>
      <c r="D181" s="121" t="s">
        <v>336</v>
      </c>
      <c r="E181" s="34" t="s">
        <v>93</v>
      </c>
      <c r="F181" s="170" t="s">
        <v>373</v>
      </c>
      <c r="G181" s="171"/>
      <c r="H181" s="17">
        <f>H146*2.58*10^-3</f>
        <v>0</v>
      </c>
      <c r="I181" s="157" t="s">
        <v>360</v>
      </c>
      <c r="P181" s="1"/>
    </row>
    <row r="182" spans="2:18" ht="19.5" customHeight="1">
      <c r="B182" s="155"/>
      <c r="C182" s="166"/>
      <c r="D182" s="110" t="s">
        <v>5</v>
      </c>
      <c r="E182" s="9" t="s">
        <v>40</v>
      </c>
      <c r="F182" s="210" t="s">
        <v>34</v>
      </c>
      <c r="G182" s="211"/>
      <c r="H182" s="17">
        <f>H167+H168+H170+H171+H173+H174+H175+H176+H177+H180+H181</f>
        <v>0</v>
      </c>
      <c r="I182" s="37" t="s">
        <v>362</v>
      </c>
    </row>
    <row r="183" spans="2:18" ht="19.5" customHeight="1">
      <c r="B183" s="212" t="s">
        <v>28</v>
      </c>
      <c r="C183" s="213"/>
      <c r="D183" s="213"/>
      <c r="E183" s="128" t="s">
        <v>50</v>
      </c>
      <c r="F183" s="214" t="s">
        <v>34</v>
      </c>
      <c r="G183" s="215"/>
      <c r="H183" s="36" t="e">
        <f>1-H182/H166</f>
        <v>#VALUE!</v>
      </c>
      <c r="I183" s="38" t="s">
        <v>92</v>
      </c>
    </row>
    <row r="184" spans="2:18" ht="19.5" customHeight="1"/>
    <row r="185" spans="2:18" ht="19.5" customHeight="1">
      <c r="K185" s="137"/>
      <c r="L185" s="112"/>
      <c r="M185" s="127"/>
    </row>
    <row r="186" spans="2:18" ht="19.5" customHeight="1"/>
    <row r="187" spans="2:18" ht="19.5" customHeight="1"/>
    <row r="188" spans="2:18" ht="19.5" customHeight="1"/>
    <row r="189" spans="2:18" ht="19.5" customHeight="1">
      <c r="O189" s="216"/>
      <c r="P189" s="216"/>
      <c r="Q189" s="4"/>
      <c r="R189" s="5"/>
    </row>
    <row r="190" spans="2:18" ht="19.5" customHeight="1">
      <c r="O190" s="1"/>
    </row>
    <row r="191" spans="2:18" ht="19.5" customHeight="1">
      <c r="Q191" s="3"/>
      <c r="R191" s="1"/>
    </row>
    <row r="192" spans="2:18" ht="39" customHeight="1">
      <c r="Q192" s="6"/>
      <c r="R192" s="1"/>
    </row>
  </sheetData>
  <mergeCells count="234">
    <mergeCell ref="J12:K12"/>
    <mergeCell ref="B13:C13"/>
    <mergeCell ref="J13:K13"/>
    <mergeCell ref="B3:C3"/>
    <mergeCell ref="B4:C4"/>
    <mergeCell ref="B5:C5"/>
    <mergeCell ref="B6:C6"/>
    <mergeCell ref="B7:C7"/>
    <mergeCell ref="B8:C8"/>
    <mergeCell ref="B14:C14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27:C27"/>
    <mergeCell ref="B28:C28"/>
    <mergeCell ref="F31:G31"/>
    <mergeCell ref="F41:G41"/>
    <mergeCell ref="F51:G51"/>
    <mergeCell ref="F52:G52"/>
    <mergeCell ref="B21:C21"/>
    <mergeCell ref="B22:C22"/>
    <mergeCell ref="B23:C23"/>
    <mergeCell ref="B24:C24"/>
    <mergeCell ref="B25:C25"/>
    <mergeCell ref="B26:C26"/>
    <mergeCell ref="F53:G53"/>
    <mergeCell ref="O53:O55"/>
    <mergeCell ref="R53:R54"/>
    <mergeCell ref="F54:G54"/>
    <mergeCell ref="F55:G55"/>
    <mergeCell ref="D56:D57"/>
    <mergeCell ref="E56:E57"/>
    <mergeCell ref="F56:G57"/>
    <mergeCell ref="H56:H57"/>
    <mergeCell ref="I56:I57"/>
    <mergeCell ref="C65:D66"/>
    <mergeCell ref="E65:E66"/>
    <mergeCell ref="F65:G66"/>
    <mergeCell ref="H65:H66"/>
    <mergeCell ref="K56:L56"/>
    <mergeCell ref="O56:P56"/>
    <mergeCell ref="D58:D59"/>
    <mergeCell ref="E58:E59"/>
    <mergeCell ref="F58:G59"/>
    <mergeCell ref="H58:H59"/>
    <mergeCell ref="I58:I59"/>
    <mergeCell ref="I65:I66"/>
    <mergeCell ref="F67:G67"/>
    <mergeCell ref="F68:G68"/>
    <mergeCell ref="F69:G69"/>
    <mergeCell ref="O69:P69"/>
    <mergeCell ref="F70:G70"/>
    <mergeCell ref="K70:L70"/>
    <mergeCell ref="O70:P70"/>
    <mergeCell ref="F60:G61"/>
    <mergeCell ref="H60:H61"/>
    <mergeCell ref="E71:E72"/>
    <mergeCell ref="F71:G72"/>
    <mergeCell ref="H71:H72"/>
    <mergeCell ref="I71:I72"/>
    <mergeCell ref="O72:P72"/>
    <mergeCell ref="D73:D76"/>
    <mergeCell ref="E73:E74"/>
    <mergeCell ref="F73:G74"/>
    <mergeCell ref="H73:H74"/>
    <mergeCell ref="I73:I74"/>
    <mergeCell ref="O74:P74"/>
    <mergeCell ref="E75:E76"/>
    <mergeCell ref="F75:G76"/>
    <mergeCell ref="H75:H76"/>
    <mergeCell ref="I75:I76"/>
    <mergeCell ref="E77:E78"/>
    <mergeCell ref="F77:G78"/>
    <mergeCell ref="H77:H78"/>
    <mergeCell ref="I77:I78"/>
    <mergeCell ref="H83:H84"/>
    <mergeCell ref="I83:I84"/>
    <mergeCell ref="D85:D86"/>
    <mergeCell ref="F85:G85"/>
    <mergeCell ref="F86:G86"/>
    <mergeCell ref="D87:D88"/>
    <mergeCell ref="F87:G87"/>
    <mergeCell ref="F88:G88"/>
    <mergeCell ref="E79:E80"/>
    <mergeCell ref="F79:G80"/>
    <mergeCell ref="H79:H80"/>
    <mergeCell ref="I79:I80"/>
    <mergeCell ref="D81:D83"/>
    <mergeCell ref="F81:G82"/>
    <mergeCell ref="H81:H82"/>
    <mergeCell ref="I81:I82"/>
    <mergeCell ref="E83:E84"/>
    <mergeCell ref="F83:G84"/>
    <mergeCell ref="D93:D94"/>
    <mergeCell ref="F93:G93"/>
    <mergeCell ref="F94:G94"/>
    <mergeCell ref="D95:D96"/>
    <mergeCell ref="F95:G95"/>
    <mergeCell ref="F96:G96"/>
    <mergeCell ref="D89:D90"/>
    <mergeCell ref="F89:G89"/>
    <mergeCell ref="F90:G90"/>
    <mergeCell ref="D91:D92"/>
    <mergeCell ref="F91:G91"/>
    <mergeCell ref="F92:G92"/>
    <mergeCell ref="C106:D106"/>
    <mergeCell ref="F106:G106"/>
    <mergeCell ref="B107:D107"/>
    <mergeCell ref="F107:G107"/>
    <mergeCell ref="B110:D110"/>
    <mergeCell ref="F110:G110"/>
    <mergeCell ref="F97:G97"/>
    <mergeCell ref="O97:P97"/>
    <mergeCell ref="F98:G98"/>
    <mergeCell ref="F99:G99"/>
    <mergeCell ref="F103:G103"/>
    <mergeCell ref="F104:G104"/>
    <mergeCell ref="H110:I110"/>
    <mergeCell ref="B114:D114"/>
    <mergeCell ref="F114:G114"/>
    <mergeCell ref="B117:D117"/>
    <mergeCell ref="F117:G117"/>
    <mergeCell ref="F118:G118"/>
    <mergeCell ref="F119:G119"/>
    <mergeCell ref="B111:C111"/>
    <mergeCell ref="F111:G111"/>
    <mergeCell ref="H111:I111"/>
    <mergeCell ref="B112:C112"/>
    <mergeCell ref="E112:E113"/>
    <mergeCell ref="F112:G112"/>
    <mergeCell ref="H112:I112"/>
    <mergeCell ref="F113:G113"/>
    <mergeCell ref="H113:I113"/>
    <mergeCell ref="D139:D140"/>
    <mergeCell ref="E139:E140"/>
    <mergeCell ref="F139:G140"/>
    <mergeCell ref="H139:H140"/>
    <mergeCell ref="I139:I140"/>
    <mergeCell ref="H157:H158"/>
    <mergeCell ref="I157:I158"/>
    <mergeCell ref="B126:C149"/>
    <mergeCell ref="F126:G126"/>
    <mergeCell ref="F127:G127"/>
    <mergeCell ref="F128:G130"/>
    <mergeCell ref="H128:H130"/>
    <mergeCell ref="F131:G131"/>
    <mergeCell ref="F132:G132"/>
    <mergeCell ref="D133:D136"/>
    <mergeCell ref="F133:G136"/>
    <mergeCell ref="H133:H136"/>
    <mergeCell ref="F144:G144"/>
    <mergeCell ref="F145:G145"/>
    <mergeCell ref="F146:G146"/>
    <mergeCell ref="E155:E156"/>
    <mergeCell ref="F155:G156"/>
    <mergeCell ref="H155:H156"/>
    <mergeCell ref="F166:G166"/>
    <mergeCell ref="F162:G162"/>
    <mergeCell ref="I100:I102"/>
    <mergeCell ref="F164:G164"/>
    <mergeCell ref="F165:G165"/>
    <mergeCell ref="I133:I136"/>
    <mergeCell ref="F137:G137"/>
    <mergeCell ref="F138:G138"/>
    <mergeCell ref="F120:G120"/>
    <mergeCell ref="F121:G121"/>
    <mergeCell ref="F122:G122"/>
    <mergeCell ref="F123:G123"/>
    <mergeCell ref="F124:G124"/>
    <mergeCell ref="F125:G125"/>
    <mergeCell ref="F105:G105"/>
    <mergeCell ref="B183:D183"/>
    <mergeCell ref="F183:G183"/>
    <mergeCell ref="O189:P189"/>
    <mergeCell ref="H62:H63"/>
    <mergeCell ref="I62:I64"/>
    <mergeCell ref="F62:G64"/>
    <mergeCell ref="E62:E64"/>
    <mergeCell ref="I168:I169"/>
    <mergeCell ref="F172:G172"/>
    <mergeCell ref="F173:G173"/>
    <mergeCell ref="F175:G175"/>
    <mergeCell ref="F167:G167"/>
    <mergeCell ref="D168:D169"/>
    <mergeCell ref="E168:E169"/>
    <mergeCell ref="F168:G169"/>
    <mergeCell ref="H168:H169"/>
    <mergeCell ref="F182:G182"/>
    <mergeCell ref="B175:C175"/>
    <mergeCell ref="F176:G176"/>
    <mergeCell ref="I155:I156"/>
    <mergeCell ref="F163:G163"/>
    <mergeCell ref="F159:G159"/>
    <mergeCell ref="F154:G154"/>
    <mergeCell ref="D155:D156"/>
    <mergeCell ref="F170:G170"/>
    <mergeCell ref="F171:G171"/>
    <mergeCell ref="C67:C99"/>
    <mergeCell ref="B167:C173"/>
    <mergeCell ref="E100:E102"/>
    <mergeCell ref="F100:G102"/>
    <mergeCell ref="D157:D159"/>
    <mergeCell ref="E157:E158"/>
    <mergeCell ref="F157:G158"/>
    <mergeCell ref="B164:C164"/>
    <mergeCell ref="B162:C162"/>
    <mergeCell ref="F147:G147"/>
    <mergeCell ref="F148:G148"/>
    <mergeCell ref="F149:G149"/>
    <mergeCell ref="B150:D150"/>
    <mergeCell ref="F150:G150"/>
    <mergeCell ref="B153:D153"/>
    <mergeCell ref="F153:G153"/>
    <mergeCell ref="F141:G141"/>
    <mergeCell ref="F142:G142"/>
    <mergeCell ref="F143:G143"/>
    <mergeCell ref="B160:C160"/>
    <mergeCell ref="F160:G160"/>
    <mergeCell ref="F161:G161"/>
    <mergeCell ref="F181:G181"/>
    <mergeCell ref="F174:G174"/>
    <mergeCell ref="B177:C177"/>
    <mergeCell ref="F177:G177"/>
    <mergeCell ref="B178:C178"/>
    <mergeCell ref="F178:G178"/>
    <mergeCell ref="F179:G179"/>
    <mergeCell ref="B180:C180"/>
    <mergeCell ref="F180:G180"/>
  </mergeCells>
  <phoneticPr fontId="1"/>
  <dataValidations count="1">
    <dataValidation type="list" allowBlank="1" showInputMessage="1" showErrorMessage="1" sqref="G12">
      <formula1>"都市ガス,消化ガス,,灯油,A重油"</formula1>
    </dataValidation>
  </dataValidations>
  <pageMargins left="0.70866141732283472" right="0.70866141732283472" top="0.75" bottom="0.74803149606299213" header="0.31496062992125984" footer="0.31496062992125984"/>
  <pageSetup paperSize="8" scale="53" fitToHeight="0" orientation="portrait" r:id="rId1"/>
  <rowBreaks count="2" manualBreakCount="2">
    <brk id="99" max="12" man="1"/>
    <brk id="151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革新技術（水熱＋消化）試算シート  (脱水設備維持費含む)</vt:lpstr>
      <vt:lpstr>'革新技術（水熱＋消化）試算シート  (脱水設備維持費含む)'!Print_Area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本田 修也</cp:lastModifiedBy>
  <cp:lastPrinted>2020-09-14T02:49:31Z</cp:lastPrinted>
  <dcterms:created xsi:type="dcterms:W3CDTF">2019-06-12T01:14:22Z</dcterms:created>
  <dcterms:modified xsi:type="dcterms:W3CDTF">2020-09-25T02:09:00Z</dcterms:modified>
</cp:coreProperties>
</file>