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608011\Desktop\"/>
    </mc:Choice>
  </mc:AlternateContent>
  <bookViews>
    <workbookView xWindow="0" yWindow="0" windowWidth="20496" windowHeight="7536"/>
  </bookViews>
  <sheets>
    <sheet name="試算シート (25B_脱水燃焼発電全体最適化)" sheetId="5" r:id="rId1"/>
  </sheets>
  <definedNames>
    <definedName name="_xlnm.Print_Area" localSheetId="0">'試算シート (25B_脱水燃焼発電全体最適化)'!$A$1:$M$120</definedName>
  </definedNames>
  <calcPr calcId="162913"/>
</workbook>
</file>

<file path=xl/calcChain.xml><?xml version="1.0" encoding="utf-8"?>
<calcChain xmlns="http://schemas.openxmlformats.org/spreadsheetml/2006/main">
  <c r="H120" i="5" l="1"/>
  <c r="H118" i="5"/>
  <c r="H117" i="5"/>
  <c r="H114" i="5"/>
  <c r="L116" i="5"/>
  <c r="H101" i="5"/>
  <c r="H103" i="5"/>
  <c r="H91" i="5"/>
  <c r="H79" i="5" l="1"/>
  <c r="D7" i="5" l="1"/>
  <c r="H83" i="5"/>
  <c r="H45" i="5" l="1"/>
  <c r="D4" i="5"/>
  <c r="H28" i="5" s="1"/>
  <c r="K86" i="5"/>
  <c r="E86" i="5"/>
  <c r="H85" i="5"/>
  <c r="H84" i="5"/>
  <c r="H73" i="5"/>
  <c r="H66" i="5"/>
  <c r="H67" i="5" s="1"/>
  <c r="H64" i="5"/>
  <c r="H63" i="5"/>
  <c r="H61" i="5"/>
  <c r="H62" i="5" s="1"/>
  <c r="H59" i="5"/>
  <c r="H60" i="5" s="1"/>
  <c r="H57" i="5"/>
  <c r="H92" i="5" s="1"/>
  <c r="H55" i="5"/>
  <c r="H56" i="5" s="1"/>
  <c r="H54" i="5"/>
  <c r="H53" i="5"/>
  <c r="H52" i="5"/>
  <c r="H50" i="5"/>
  <c r="H51" i="5" s="1"/>
  <c r="H48" i="5"/>
  <c r="H46" i="5"/>
  <c r="H89" i="5" s="1"/>
  <c r="H34" i="5"/>
  <c r="H33" i="5"/>
  <c r="H32" i="5"/>
  <c r="H13" i="5"/>
  <c r="G13" i="5"/>
  <c r="L103" i="5" s="1"/>
  <c r="H12" i="5"/>
  <c r="G12" i="5"/>
  <c r="L85" i="5" s="1"/>
  <c r="D8" i="5"/>
  <c r="H112" i="5" s="1"/>
  <c r="H113" i="5" s="1"/>
  <c r="H87" i="5" l="1"/>
  <c r="H49" i="5"/>
  <c r="H94" i="5"/>
  <c r="H111" i="5"/>
  <c r="H104" i="5"/>
  <c r="H105" i="5" s="1"/>
  <c r="H58" i="5"/>
  <c r="H36" i="5"/>
  <c r="H71" i="5"/>
  <c r="H68" i="5"/>
  <c r="H102" i="5"/>
  <c r="D9" i="5"/>
  <c r="H31" i="5" s="1"/>
  <c r="H29" i="5"/>
  <c r="H38" i="5" s="1"/>
  <c r="H69" i="5"/>
  <c r="H47" i="5"/>
  <c r="H65" i="5"/>
  <c r="H96" i="5"/>
  <c r="H119" i="5" s="1"/>
  <c r="H90" i="5"/>
  <c r="H109" i="5" s="1"/>
  <c r="H110" i="5" s="1"/>
  <c r="H35" i="5"/>
  <c r="H106" i="5"/>
  <c r="H74" i="5" l="1"/>
  <c r="H95" i="5"/>
  <c r="H40" i="5"/>
  <c r="H88" i="5"/>
  <c r="H107" i="5"/>
  <c r="H108" i="5" s="1"/>
  <c r="H42" i="5"/>
  <c r="H76" i="5"/>
  <c r="H37" i="5"/>
  <c r="H77" i="5" l="1"/>
  <c r="H97" i="5"/>
  <c r="H43" i="5"/>
</calcChain>
</file>

<file path=xl/sharedStrings.xml><?xml version="1.0" encoding="utf-8"?>
<sst xmlns="http://schemas.openxmlformats.org/spreadsheetml/2006/main" count="414" uniqueCount="266">
  <si>
    <t>従来技術</t>
    <rPh sb="0" eb="2">
      <t>ジュウライ</t>
    </rPh>
    <rPh sb="2" eb="4">
      <t>ギジュツ</t>
    </rPh>
    <phoneticPr fontId="1"/>
  </si>
  <si>
    <t>機械建設費</t>
    <rPh sb="0" eb="2">
      <t>キカイ</t>
    </rPh>
    <rPh sb="2" eb="5">
      <t>ケンセツヒ</t>
    </rPh>
    <phoneticPr fontId="1"/>
  </si>
  <si>
    <t>維持管理費</t>
    <rPh sb="0" eb="2">
      <t>イジ</t>
    </rPh>
    <rPh sb="2" eb="5">
      <t>カンリヒ</t>
    </rPh>
    <phoneticPr fontId="1"/>
  </si>
  <si>
    <t>合計</t>
    <rPh sb="0" eb="2">
      <t>ゴウケイ</t>
    </rPh>
    <phoneticPr fontId="1"/>
  </si>
  <si>
    <t>建設費年価</t>
    <rPh sb="0" eb="3">
      <t>ケンセツヒ</t>
    </rPh>
    <rPh sb="3" eb="4">
      <t>ネン</t>
    </rPh>
    <rPh sb="4" eb="5">
      <t>カ</t>
    </rPh>
    <phoneticPr fontId="1"/>
  </si>
  <si>
    <t>革新的技術</t>
    <rPh sb="0" eb="3">
      <t>カクシンテキ</t>
    </rPh>
    <rPh sb="3" eb="5">
      <t>ギジュツ</t>
    </rPh>
    <phoneticPr fontId="1"/>
  </si>
  <si>
    <t>発電設備</t>
    <rPh sb="0" eb="2">
      <t>ハツデン</t>
    </rPh>
    <rPh sb="2" eb="4">
      <t>セツビ</t>
    </rPh>
    <phoneticPr fontId="1"/>
  </si>
  <si>
    <t>電気設備</t>
    <rPh sb="0" eb="2">
      <t>デンキ</t>
    </rPh>
    <rPh sb="2" eb="4">
      <t>セツビ</t>
    </rPh>
    <phoneticPr fontId="1"/>
  </si>
  <si>
    <t>建設費合計</t>
    <rPh sb="0" eb="3">
      <t>ケンセツヒ</t>
    </rPh>
    <rPh sb="3" eb="5">
      <t>ゴウケイ</t>
    </rPh>
    <phoneticPr fontId="1"/>
  </si>
  <si>
    <t>焼却設備</t>
    <rPh sb="0" eb="2">
      <t>ショウキャク</t>
    </rPh>
    <rPh sb="2" eb="4">
      <t>セツビ</t>
    </rPh>
    <phoneticPr fontId="1"/>
  </si>
  <si>
    <t>備考</t>
    <rPh sb="0" eb="2">
      <t>ビコウ</t>
    </rPh>
    <phoneticPr fontId="1"/>
  </si>
  <si>
    <t>技術区分</t>
    <rPh sb="0" eb="2">
      <t>ギジュツ</t>
    </rPh>
    <rPh sb="2" eb="4">
      <t>クブン</t>
    </rPh>
    <phoneticPr fontId="1"/>
  </si>
  <si>
    <t>項目</t>
    <rPh sb="0" eb="2">
      <t>コウモク</t>
    </rPh>
    <phoneticPr fontId="1"/>
  </si>
  <si>
    <t>設備名称</t>
    <rPh sb="0" eb="2">
      <t>セツビ</t>
    </rPh>
    <rPh sb="2" eb="4">
      <t>メイショウ</t>
    </rPh>
    <phoneticPr fontId="1"/>
  </si>
  <si>
    <t>費用</t>
    <rPh sb="0" eb="2">
      <t>ヒヨウ</t>
    </rPh>
    <phoneticPr fontId="1"/>
  </si>
  <si>
    <t>単位</t>
    <rPh sb="0" eb="2">
      <t>タンイ</t>
    </rPh>
    <phoneticPr fontId="1"/>
  </si>
  <si>
    <t>エネルギー削減効果</t>
    <rPh sb="5" eb="7">
      <t>サクゲン</t>
    </rPh>
    <rPh sb="7" eb="9">
      <t>コウカ</t>
    </rPh>
    <phoneticPr fontId="1"/>
  </si>
  <si>
    <t>エネルギー創出量</t>
    <rPh sb="5" eb="7">
      <t>ソウシュツ</t>
    </rPh>
    <phoneticPr fontId="1"/>
  </si>
  <si>
    <t>温室効果ガス削減効果</t>
    <rPh sb="0" eb="2">
      <t>オンシツ</t>
    </rPh>
    <rPh sb="2" eb="4">
      <t>コウカ</t>
    </rPh>
    <rPh sb="6" eb="8">
      <t>サクゲン</t>
    </rPh>
    <rPh sb="8" eb="10">
      <t>コウカ</t>
    </rPh>
    <phoneticPr fontId="1"/>
  </si>
  <si>
    <t>GHG排出量</t>
    <rPh sb="3" eb="6">
      <t>ハイシュツリョウ</t>
    </rPh>
    <phoneticPr fontId="1"/>
  </si>
  <si>
    <t>消費電力由来GHG排出量</t>
    <rPh sb="0" eb="2">
      <t>ショウヒ</t>
    </rPh>
    <rPh sb="2" eb="4">
      <t>デンリョク</t>
    </rPh>
    <rPh sb="4" eb="6">
      <t>ユライ</t>
    </rPh>
    <rPh sb="9" eb="12">
      <t>ハイシュツリョウ</t>
    </rPh>
    <phoneticPr fontId="1"/>
  </si>
  <si>
    <t>発電によるGHG排出削減量</t>
    <rPh sb="0" eb="2">
      <t>ハツデン</t>
    </rPh>
    <rPh sb="8" eb="10">
      <t>ハイシュツ</t>
    </rPh>
    <rPh sb="10" eb="13">
      <t>サクゲンリョウ</t>
    </rPh>
    <phoneticPr fontId="1"/>
  </si>
  <si>
    <t>百万円</t>
    <rPh sb="0" eb="2">
      <t>ヒャクマン</t>
    </rPh>
    <rPh sb="2" eb="3">
      <t>エン</t>
    </rPh>
    <phoneticPr fontId="1"/>
  </si>
  <si>
    <t>百万円/年</t>
    <rPh sb="0" eb="2">
      <t>ヒャクマン</t>
    </rPh>
    <rPh sb="2" eb="3">
      <t>エン</t>
    </rPh>
    <rPh sb="4" eb="5">
      <t>ネン</t>
    </rPh>
    <phoneticPr fontId="1"/>
  </si>
  <si>
    <t>費用関数</t>
    <rPh sb="0" eb="2">
      <t>ヒヨウ</t>
    </rPh>
    <rPh sb="2" eb="4">
      <t>カンスウ</t>
    </rPh>
    <phoneticPr fontId="1"/>
  </si>
  <si>
    <t>ー</t>
    <phoneticPr fontId="1"/>
  </si>
  <si>
    <t>備考</t>
    <phoneticPr fontId="1"/>
  </si>
  <si>
    <t>費用関数</t>
    <phoneticPr fontId="1"/>
  </si>
  <si>
    <t>④</t>
    <phoneticPr fontId="1"/>
  </si>
  <si>
    <t>⑤</t>
    <phoneticPr fontId="1"/>
  </si>
  <si>
    <r>
      <t>t-CO</t>
    </r>
    <r>
      <rPr>
        <vertAlign val="subscript"/>
        <sz val="11"/>
        <color theme="1"/>
        <rFont val="游ゴシック"/>
        <family val="3"/>
        <charset val="128"/>
        <scheme val="minor"/>
      </rPr>
      <t>2</t>
    </r>
    <r>
      <rPr>
        <sz val="11"/>
        <color theme="1"/>
        <rFont val="游ゴシック"/>
        <family val="2"/>
        <charset val="128"/>
        <scheme val="minor"/>
      </rPr>
      <t>/年</t>
    </r>
    <rPh sb="6" eb="7">
      <t>ネン</t>
    </rPh>
    <phoneticPr fontId="1"/>
  </si>
  <si>
    <t>電力</t>
    <rPh sb="0" eb="2">
      <t>デンリョク</t>
    </rPh>
    <phoneticPr fontId="1"/>
  </si>
  <si>
    <t>⑬</t>
    <phoneticPr fontId="1"/>
  </si>
  <si>
    <t>⑭</t>
    <phoneticPr fontId="1"/>
  </si>
  <si>
    <t>％</t>
    <phoneticPr fontId="1"/>
  </si>
  <si>
    <t>総費用（年価換算値）削減効果</t>
    <rPh sb="0" eb="3">
      <t>ソウヒヨウ</t>
    </rPh>
    <rPh sb="4" eb="6">
      <t>ネンカ</t>
    </rPh>
    <rPh sb="6" eb="8">
      <t>カンサン</t>
    </rPh>
    <rPh sb="8" eb="9">
      <t>チ</t>
    </rPh>
    <rPh sb="10" eb="12">
      <t>サクゲン</t>
    </rPh>
    <rPh sb="12" eb="14">
      <t>コウカ</t>
    </rPh>
    <phoneticPr fontId="1"/>
  </si>
  <si>
    <t>諸元値一覧</t>
    <rPh sb="0" eb="2">
      <t>ショゲン</t>
    </rPh>
    <rPh sb="2" eb="3">
      <t>チ</t>
    </rPh>
    <rPh sb="3" eb="5">
      <t>イチラン</t>
    </rPh>
    <phoneticPr fontId="1"/>
  </si>
  <si>
    <t>補助燃料由来GHG排出量</t>
    <rPh sb="0" eb="2">
      <t>ホジョ</t>
    </rPh>
    <rPh sb="2" eb="4">
      <t>ネンリョウ</t>
    </rPh>
    <rPh sb="4" eb="6">
      <t>ユライ</t>
    </rPh>
    <rPh sb="9" eb="11">
      <t>ハイシュツ</t>
    </rPh>
    <rPh sb="11" eb="12">
      <t>リョウ</t>
    </rPh>
    <phoneticPr fontId="1"/>
  </si>
  <si>
    <t>都市ガス</t>
    <rPh sb="0" eb="2">
      <t>トシ</t>
    </rPh>
    <phoneticPr fontId="1"/>
  </si>
  <si>
    <t>灯油</t>
    <rPh sb="0" eb="2">
      <t>トウユ</t>
    </rPh>
    <phoneticPr fontId="1"/>
  </si>
  <si>
    <t>消化ガス</t>
    <rPh sb="0" eb="2">
      <t>ショウカ</t>
    </rPh>
    <phoneticPr fontId="1"/>
  </si>
  <si>
    <t>MJ/L</t>
    <phoneticPr fontId="1"/>
  </si>
  <si>
    <t>⑦</t>
    <phoneticPr fontId="1"/>
  </si>
  <si>
    <t>⑥</t>
    <phoneticPr fontId="1"/>
  </si>
  <si>
    <t>⑧</t>
    <phoneticPr fontId="1"/>
  </si>
  <si>
    <t>土木建築施設</t>
    <rPh sb="0" eb="2">
      <t>ドボク</t>
    </rPh>
    <rPh sb="2" eb="4">
      <t>ケンチク</t>
    </rPh>
    <rPh sb="4" eb="6">
      <t>シセツ</t>
    </rPh>
    <phoneticPr fontId="1"/>
  </si>
  <si>
    <t>補助燃料使用によるエネルギー消費量</t>
    <rPh sb="0" eb="2">
      <t>ホジョ</t>
    </rPh>
    <rPh sb="2" eb="4">
      <t>ネンリョウ</t>
    </rPh>
    <rPh sb="4" eb="6">
      <t>シヨウ</t>
    </rPh>
    <rPh sb="14" eb="17">
      <t>ショウヒリョウ</t>
    </rPh>
    <phoneticPr fontId="1"/>
  </si>
  <si>
    <t>→</t>
    <phoneticPr fontId="1"/>
  </si>
  <si>
    <r>
      <t>MJ/Nm</t>
    </r>
    <r>
      <rPr>
        <vertAlign val="superscript"/>
        <sz val="11"/>
        <color theme="1"/>
        <rFont val="游ゴシック"/>
        <family val="3"/>
        <charset val="128"/>
        <scheme val="minor"/>
      </rPr>
      <t>3</t>
    </r>
    <phoneticPr fontId="1"/>
  </si>
  <si>
    <t>A重油</t>
    <rPh sb="1" eb="3">
      <t>ジュウユ</t>
    </rPh>
    <phoneticPr fontId="1"/>
  </si>
  <si>
    <r>
      <t>Y=工種別建設費×i(1+i)</t>
    </r>
    <r>
      <rPr>
        <vertAlign val="superscript"/>
        <sz val="11"/>
        <color theme="1"/>
        <rFont val="游ゴシック"/>
        <family val="3"/>
        <charset val="128"/>
        <scheme val="minor"/>
      </rPr>
      <t>n</t>
    </r>
    <r>
      <rPr>
        <sz val="11"/>
        <color theme="1"/>
        <rFont val="游ゴシック"/>
        <family val="2"/>
        <charset val="128"/>
        <scheme val="minor"/>
      </rPr>
      <t>/{(1+i)</t>
    </r>
    <r>
      <rPr>
        <vertAlign val="superscript"/>
        <sz val="11"/>
        <color theme="1"/>
        <rFont val="游ゴシック"/>
        <family val="3"/>
        <charset val="128"/>
        <scheme val="minor"/>
      </rPr>
      <t>n</t>
    </r>
    <r>
      <rPr>
        <sz val="11"/>
        <color theme="1"/>
        <rFont val="游ゴシック"/>
        <family val="2"/>
        <charset val="128"/>
        <scheme val="minor"/>
      </rPr>
      <t>-1}</t>
    </r>
    <rPh sb="2" eb="5">
      <t>コウシュベツ</t>
    </rPh>
    <rPh sb="5" eb="8">
      <t>ケンセツヒ</t>
    </rPh>
    <phoneticPr fontId="1"/>
  </si>
  <si>
    <r>
      <t>Y=工種別建設費×i(1-i)</t>
    </r>
    <r>
      <rPr>
        <vertAlign val="superscript"/>
        <sz val="11"/>
        <color theme="1"/>
        <rFont val="游ゴシック"/>
        <family val="3"/>
        <charset val="128"/>
        <scheme val="minor"/>
      </rPr>
      <t>n</t>
    </r>
    <r>
      <rPr>
        <sz val="11"/>
        <color theme="1"/>
        <rFont val="游ゴシック"/>
        <family val="2"/>
        <charset val="128"/>
        <scheme val="minor"/>
      </rPr>
      <t>/{(1+i)</t>
    </r>
    <r>
      <rPr>
        <vertAlign val="superscript"/>
        <sz val="11"/>
        <color theme="1"/>
        <rFont val="游ゴシック"/>
        <family val="3"/>
        <charset val="128"/>
        <scheme val="minor"/>
      </rPr>
      <t>n</t>
    </r>
    <r>
      <rPr>
        <sz val="11"/>
        <color theme="1"/>
        <rFont val="游ゴシック"/>
        <family val="2"/>
        <charset val="128"/>
        <scheme val="minor"/>
      </rPr>
      <t>-1}</t>
    </r>
    <rPh sb="2" eb="4">
      <t>コウシュ</t>
    </rPh>
    <rPh sb="4" eb="5">
      <t>ベツ</t>
    </rPh>
    <rPh sb="5" eb="8">
      <t>ケンセツヒ</t>
    </rPh>
    <phoneticPr fontId="1"/>
  </si>
  <si>
    <t>稼働日数(日/年)</t>
    <rPh sb="0" eb="2">
      <t>カドウ</t>
    </rPh>
    <rPh sb="2" eb="4">
      <t>ニッスウ</t>
    </rPh>
    <rPh sb="5" eb="6">
      <t>ヒ</t>
    </rPh>
    <rPh sb="7" eb="8">
      <t>ネン</t>
    </rPh>
    <phoneticPr fontId="1"/>
  </si>
  <si>
    <t>電力単価(円/kWh)</t>
    <rPh sb="0" eb="2">
      <t>デンリョク</t>
    </rPh>
    <rPh sb="2" eb="4">
      <t>タンカ</t>
    </rPh>
    <rPh sb="5" eb="6">
      <t>エン</t>
    </rPh>
    <phoneticPr fontId="1"/>
  </si>
  <si>
    <t>総費用(年価換算値)</t>
    <rPh sb="0" eb="3">
      <t>ソウヒヨウ</t>
    </rPh>
    <rPh sb="4" eb="5">
      <t>トシ</t>
    </rPh>
    <rPh sb="5" eb="6">
      <t>アタイ</t>
    </rPh>
    <rPh sb="6" eb="8">
      <t>カンサン</t>
    </rPh>
    <rPh sb="8" eb="9">
      <t>アタイ</t>
    </rPh>
    <phoneticPr fontId="1"/>
  </si>
  <si>
    <t>利子率(％)</t>
    <rPh sb="0" eb="2">
      <t>リシ</t>
    </rPh>
    <rPh sb="2" eb="3">
      <t>リツ</t>
    </rPh>
    <phoneticPr fontId="1"/>
  </si>
  <si>
    <t>対象年数(年)</t>
    <rPh sb="0" eb="2">
      <t>タイショウ</t>
    </rPh>
    <rPh sb="2" eb="4">
      <t>ネンスウ</t>
    </rPh>
    <rPh sb="5" eb="6">
      <t>ネン</t>
    </rPh>
    <phoneticPr fontId="1"/>
  </si>
  <si>
    <r>
      <t>t-CO</t>
    </r>
    <r>
      <rPr>
        <vertAlign val="subscript"/>
        <sz val="11"/>
        <rFont val="游ゴシック"/>
        <family val="3"/>
        <charset val="128"/>
        <scheme val="minor"/>
      </rPr>
      <t>2</t>
    </r>
    <r>
      <rPr>
        <sz val="11"/>
        <rFont val="游ゴシック"/>
        <family val="3"/>
        <charset val="128"/>
        <scheme val="minor"/>
      </rPr>
      <t>/年</t>
    </r>
    <rPh sb="6" eb="7">
      <t>ネン</t>
    </rPh>
    <phoneticPr fontId="1"/>
  </si>
  <si>
    <r>
      <t>N</t>
    </r>
    <r>
      <rPr>
        <vertAlign val="subscript"/>
        <sz val="11"/>
        <rFont val="游ゴシック"/>
        <family val="3"/>
        <charset val="128"/>
        <scheme val="minor"/>
      </rPr>
      <t>2</t>
    </r>
    <r>
      <rPr>
        <sz val="11"/>
        <rFont val="游ゴシック"/>
        <family val="3"/>
        <charset val="128"/>
        <scheme val="minor"/>
      </rPr>
      <t>O由来GHG排出量</t>
    </r>
    <rPh sb="3" eb="5">
      <t>ユライ</t>
    </rPh>
    <rPh sb="8" eb="11">
      <t>ハイシュツリョウ</t>
    </rPh>
    <phoneticPr fontId="1"/>
  </si>
  <si>
    <r>
      <t>kg</t>
    </r>
    <r>
      <rPr>
        <sz val="11"/>
        <rFont val="游ゴシック"/>
        <family val="3"/>
        <charset val="128"/>
        <scheme val="minor"/>
      </rPr>
      <t>-CO</t>
    </r>
    <r>
      <rPr>
        <vertAlign val="subscript"/>
        <sz val="11"/>
        <rFont val="游ゴシック"/>
        <family val="3"/>
        <charset val="128"/>
        <scheme val="minor"/>
      </rPr>
      <t>2</t>
    </r>
    <r>
      <rPr>
        <sz val="11"/>
        <rFont val="游ゴシック"/>
        <family val="3"/>
        <charset val="128"/>
        <scheme val="minor"/>
      </rPr>
      <t>/m</t>
    </r>
    <r>
      <rPr>
        <vertAlign val="superscript"/>
        <sz val="11"/>
        <rFont val="游ゴシック"/>
        <family val="3"/>
        <charset val="128"/>
        <scheme val="minor"/>
      </rPr>
      <t>3</t>
    </r>
    <phoneticPr fontId="1"/>
  </si>
  <si>
    <r>
      <t>kg-CO</t>
    </r>
    <r>
      <rPr>
        <vertAlign val="subscript"/>
        <sz val="11"/>
        <rFont val="游ゴシック"/>
        <family val="3"/>
        <charset val="128"/>
        <scheme val="minor"/>
      </rPr>
      <t>2</t>
    </r>
    <r>
      <rPr>
        <sz val="11"/>
        <rFont val="游ゴシック"/>
        <family val="3"/>
        <charset val="128"/>
        <scheme val="minor"/>
      </rPr>
      <t>/m</t>
    </r>
    <r>
      <rPr>
        <vertAlign val="superscript"/>
        <sz val="11"/>
        <rFont val="游ゴシック"/>
        <family val="3"/>
        <charset val="128"/>
        <scheme val="minor"/>
      </rPr>
      <t>3</t>
    </r>
    <phoneticPr fontId="1"/>
  </si>
  <si>
    <r>
      <t>kg-CO</t>
    </r>
    <r>
      <rPr>
        <vertAlign val="subscript"/>
        <sz val="11"/>
        <rFont val="游ゴシック"/>
        <family val="3"/>
        <charset val="128"/>
        <scheme val="minor"/>
      </rPr>
      <t>2</t>
    </r>
    <r>
      <rPr>
        <sz val="11"/>
        <rFont val="游ゴシック"/>
        <family val="3"/>
        <charset val="128"/>
        <scheme val="minor"/>
      </rPr>
      <t>/L</t>
    </r>
    <phoneticPr fontId="1"/>
  </si>
  <si>
    <r>
      <t>補助燃料種類</t>
    </r>
    <r>
      <rPr>
        <vertAlign val="superscript"/>
        <sz val="11"/>
        <rFont val="游ゴシック"/>
        <family val="3"/>
        <charset val="128"/>
        <scheme val="minor"/>
      </rPr>
      <t>※1</t>
    </r>
    <rPh sb="0" eb="2">
      <t>ホジョ</t>
    </rPh>
    <rPh sb="2" eb="4">
      <t>ネンリョウ</t>
    </rPh>
    <rPh sb="4" eb="6">
      <t>シュルイ</t>
    </rPh>
    <phoneticPr fontId="1"/>
  </si>
  <si>
    <t>脱水設備</t>
    <rPh sb="0" eb="2">
      <t>ダッスイ</t>
    </rPh>
    <rPh sb="2" eb="4">
      <t>セツビ</t>
    </rPh>
    <phoneticPr fontId="1"/>
  </si>
  <si>
    <t>土木建築費</t>
    <rPh sb="0" eb="2">
      <t>ドボク</t>
    </rPh>
    <rPh sb="2" eb="4">
      <t>ケンチク</t>
    </rPh>
    <rPh sb="4" eb="5">
      <t>ヒ</t>
    </rPh>
    <phoneticPr fontId="1"/>
  </si>
  <si>
    <t>電気建設費</t>
    <rPh sb="0" eb="2">
      <t>デンキ</t>
    </rPh>
    <rPh sb="2" eb="4">
      <t>ケンセツ</t>
    </rPh>
    <rPh sb="4" eb="5">
      <t>ヒ</t>
    </rPh>
    <phoneticPr fontId="1"/>
  </si>
  <si>
    <r>
      <t>総費用（年価換算値）※革新的技術</t>
    </r>
    <r>
      <rPr>
        <sz val="20"/>
        <color rgb="FFFF0000"/>
        <rFont val="游ゴシック"/>
        <family val="3"/>
        <charset val="128"/>
        <scheme val="minor"/>
      </rPr>
      <t>（脱水・燃焼・発電の３設備を一括で新設導入する場合）</t>
    </r>
    <rPh sb="0" eb="3">
      <t>ソウヒヨウ</t>
    </rPh>
    <rPh sb="4" eb="6">
      <t>ネンカ</t>
    </rPh>
    <rPh sb="6" eb="9">
      <t>カンサンチ</t>
    </rPh>
    <rPh sb="11" eb="14">
      <t>カクシンテキ</t>
    </rPh>
    <rPh sb="14" eb="16">
      <t>ギジュツ</t>
    </rPh>
    <rPh sb="17" eb="19">
      <t>ダッスイ</t>
    </rPh>
    <rPh sb="20" eb="22">
      <t>ネンショウ</t>
    </rPh>
    <rPh sb="23" eb="25">
      <t>ハツデン</t>
    </rPh>
    <rPh sb="27" eb="29">
      <t>セツビ</t>
    </rPh>
    <rPh sb="30" eb="32">
      <t>イッカツ</t>
    </rPh>
    <rPh sb="33" eb="35">
      <t>シンセツ</t>
    </rPh>
    <rPh sb="35" eb="37">
      <t>ドウニュウ</t>
    </rPh>
    <rPh sb="39" eb="41">
      <t>バアイ</t>
    </rPh>
    <phoneticPr fontId="1"/>
  </si>
  <si>
    <t>脱水ケーキ含水率（%）</t>
    <rPh sb="0" eb="2">
      <t>ダッスイ</t>
    </rPh>
    <rPh sb="5" eb="8">
      <t>ガンスイリツ</t>
    </rPh>
    <phoneticPr fontId="1"/>
  </si>
  <si>
    <r>
      <t>設備規模(m</t>
    </r>
    <r>
      <rPr>
        <vertAlign val="superscript"/>
        <sz val="11"/>
        <color theme="1"/>
        <rFont val="游ゴシック"/>
        <family val="3"/>
        <charset val="128"/>
        <scheme val="minor"/>
      </rPr>
      <t>3</t>
    </r>
    <r>
      <rPr>
        <sz val="11"/>
        <color theme="1"/>
        <rFont val="游ゴシック"/>
        <family val="2"/>
        <charset val="128"/>
        <scheme val="minor"/>
      </rPr>
      <t>-濃縮汚泥/日)：Qd</t>
    </r>
    <rPh sb="0" eb="2">
      <t>セツビ</t>
    </rPh>
    <rPh sb="2" eb="4">
      <t>キボ</t>
    </rPh>
    <rPh sb="8" eb="10">
      <t>ノウシュク</t>
    </rPh>
    <rPh sb="10" eb="12">
      <t>オデイ</t>
    </rPh>
    <phoneticPr fontId="1"/>
  </si>
  <si>
    <t>設備規模(wet-t/日)：Xd</t>
    <rPh sb="0" eb="2">
      <t>セツビ</t>
    </rPh>
    <rPh sb="2" eb="4">
      <t>キボ</t>
    </rPh>
    <phoneticPr fontId="1"/>
  </si>
  <si>
    <t>焼却機械設備</t>
    <rPh sb="0" eb="2">
      <t>ショウキャク</t>
    </rPh>
    <rPh sb="2" eb="4">
      <t>キカイ</t>
    </rPh>
    <rPh sb="4" eb="6">
      <t>セツビ</t>
    </rPh>
    <phoneticPr fontId="1"/>
  </si>
  <si>
    <t>その他機械設備</t>
    <rPh sb="2" eb="3">
      <t>ホカ</t>
    </rPh>
    <rPh sb="3" eb="5">
      <t>キカイ</t>
    </rPh>
    <rPh sb="5" eb="7">
      <t>セツビ</t>
    </rPh>
    <phoneticPr fontId="1"/>
  </si>
  <si>
    <t>焼却設備・電気建設費に含む</t>
    <phoneticPr fontId="1"/>
  </si>
  <si>
    <t>年間処理脱水汚泥量(wet-t/年)：Xy</t>
    <rPh sb="0" eb="2">
      <t>ネンカン</t>
    </rPh>
    <rPh sb="2" eb="4">
      <t>ショリ</t>
    </rPh>
    <rPh sb="4" eb="6">
      <t>ダッスイ</t>
    </rPh>
    <rPh sb="6" eb="9">
      <t>オデイリョウ</t>
    </rPh>
    <rPh sb="16" eb="17">
      <t>ネン</t>
    </rPh>
    <phoneticPr fontId="1"/>
  </si>
  <si>
    <t>年間処理濃縮汚泥量(m3/年)：Qy</t>
    <rPh sb="0" eb="2">
      <t>ネンカン</t>
    </rPh>
    <rPh sb="2" eb="4">
      <t>ショリ</t>
    </rPh>
    <rPh sb="4" eb="6">
      <t>ノウシュク</t>
    </rPh>
    <rPh sb="6" eb="9">
      <t>オデイリョウ</t>
    </rPh>
    <rPh sb="13" eb="14">
      <t>ネン</t>
    </rPh>
    <phoneticPr fontId="1"/>
  </si>
  <si>
    <t>維持管理費（灰処分費以外）</t>
    <rPh sb="0" eb="2">
      <t>イジ</t>
    </rPh>
    <rPh sb="2" eb="5">
      <t>カンリヒ</t>
    </rPh>
    <rPh sb="6" eb="7">
      <t>ハイ</t>
    </rPh>
    <rPh sb="7" eb="9">
      <t>ショブン</t>
    </rPh>
    <rPh sb="9" eb="10">
      <t>ヒ</t>
    </rPh>
    <rPh sb="10" eb="12">
      <t>イガイ</t>
    </rPh>
    <phoneticPr fontId="1"/>
  </si>
  <si>
    <t>維持管理費（灰処分費）</t>
    <rPh sb="0" eb="2">
      <t>イジ</t>
    </rPh>
    <rPh sb="2" eb="5">
      <t>カンリヒ</t>
    </rPh>
    <phoneticPr fontId="1"/>
  </si>
  <si>
    <r>
      <t>Y=0.287Xy</t>
    </r>
    <r>
      <rPr>
        <vertAlign val="superscript"/>
        <sz val="11"/>
        <color theme="1"/>
        <rFont val="游ゴシック"/>
        <family val="3"/>
        <charset val="128"/>
        <scheme val="minor"/>
      </rPr>
      <t>0.673</t>
    </r>
    <r>
      <rPr>
        <sz val="11"/>
        <color theme="1"/>
        <rFont val="游ゴシック"/>
        <family val="3"/>
        <charset val="128"/>
        <scheme val="minor"/>
      </rPr>
      <t>×100</t>
    </r>
    <phoneticPr fontId="1"/>
  </si>
  <si>
    <t>脱水ケーキ有機分率（%）</t>
    <rPh sb="0" eb="2">
      <t>ダッスイ</t>
    </rPh>
    <rPh sb="5" eb="7">
      <t>ユウキ</t>
    </rPh>
    <rPh sb="7" eb="9">
      <t>ブンリツ</t>
    </rPh>
    <phoneticPr fontId="1"/>
  </si>
  <si>
    <t>維持管理費合計
(電力、燃料、薬品費、灰処分費、補修費、人件費)</t>
    <rPh sb="0" eb="2">
      <t>イジ</t>
    </rPh>
    <rPh sb="2" eb="5">
      <t>カンリヒ</t>
    </rPh>
    <rPh sb="5" eb="7">
      <t>ゴウケイ</t>
    </rPh>
    <rPh sb="9" eb="11">
      <t>デンリョク</t>
    </rPh>
    <rPh sb="12" eb="14">
      <t>ネンリョウ</t>
    </rPh>
    <rPh sb="15" eb="17">
      <t>ヤクヒン</t>
    </rPh>
    <rPh sb="17" eb="18">
      <t>ヒ</t>
    </rPh>
    <rPh sb="19" eb="20">
      <t>ハイ</t>
    </rPh>
    <rPh sb="20" eb="22">
      <t>ショブン</t>
    </rPh>
    <rPh sb="22" eb="23">
      <t>ヒ</t>
    </rPh>
    <rPh sb="24" eb="27">
      <t>ホシュウヒ</t>
    </rPh>
    <rPh sb="28" eb="31">
      <t>ジンケンヒ</t>
    </rPh>
    <phoneticPr fontId="1"/>
  </si>
  <si>
    <t>解体撤去費</t>
    <rPh sb="0" eb="2">
      <t>カイタイ</t>
    </rPh>
    <rPh sb="2" eb="4">
      <t>テッキョ</t>
    </rPh>
    <rPh sb="4" eb="5">
      <t>ヒ</t>
    </rPh>
    <phoneticPr fontId="1"/>
  </si>
  <si>
    <t>建設費×10％</t>
    <rPh sb="0" eb="3">
      <t>ケンセツヒ</t>
    </rPh>
    <phoneticPr fontId="1"/>
  </si>
  <si>
    <r>
      <t>Y=Xy</t>
    </r>
    <r>
      <rPr>
        <sz val="11"/>
        <color theme="1"/>
        <rFont val="游ゴシック"/>
        <family val="3"/>
        <charset val="128"/>
        <scheme val="minor"/>
      </rPr>
      <t>×</t>
    </r>
    <r>
      <rPr>
        <sz val="11"/>
        <color theme="1"/>
        <rFont val="游ゴシック"/>
        <family val="2"/>
        <charset val="128"/>
        <scheme val="minor"/>
      </rPr>
      <t>(1-含水率)×(1-有機分率)÷(1-灰含水率)×処分単価</t>
    </r>
    <rPh sb="8" eb="10">
      <t>ガンスイ</t>
    </rPh>
    <rPh sb="10" eb="11">
      <t>リツ</t>
    </rPh>
    <rPh sb="16" eb="18">
      <t>ユウキ</t>
    </rPh>
    <rPh sb="18" eb="20">
      <t>ブンリツ</t>
    </rPh>
    <rPh sb="25" eb="26">
      <t>ハイ</t>
    </rPh>
    <rPh sb="26" eb="28">
      <t>ガンスイ</t>
    </rPh>
    <rPh sb="28" eb="29">
      <t>リツ</t>
    </rPh>
    <rPh sb="31" eb="33">
      <t>ショブン</t>
    </rPh>
    <rPh sb="33" eb="35">
      <t>タンカ</t>
    </rPh>
    <phoneticPr fontId="1"/>
  </si>
  <si>
    <t>デフレータ(H15基準）</t>
    <rPh sb="9" eb="11">
      <t>キジュン</t>
    </rPh>
    <phoneticPr fontId="1"/>
  </si>
  <si>
    <t>⑩</t>
    <phoneticPr fontId="1"/>
  </si>
  <si>
    <t>⑫</t>
    <phoneticPr fontId="1"/>
  </si>
  <si>
    <r>
      <t>Y</t>
    </r>
    <r>
      <rPr>
        <sz val="11"/>
        <color theme="1"/>
        <rFont val="游ゴシック"/>
        <family val="2"/>
        <charset val="128"/>
        <scheme val="minor"/>
      </rPr>
      <t>=3.365Xd+444.3</t>
    </r>
    <phoneticPr fontId="1"/>
  </si>
  <si>
    <t>維持管理費（消費電力）</t>
    <rPh sb="0" eb="2">
      <t>イジ</t>
    </rPh>
    <rPh sb="2" eb="5">
      <t>カンリヒ</t>
    </rPh>
    <rPh sb="6" eb="8">
      <t>ショウヒ</t>
    </rPh>
    <rPh sb="8" eb="10">
      <t>デンリョク</t>
    </rPh>
    <phoneticPr fontId="1"/>
  </si>
  <si>
    <t>消費電力量
（MWh/年）</t>
    <rPh sb="0" eb="2">
      <t>ショウヒ</t>
    </rPh>
    <rPh sb="2" eb="4">
      <t>デンリョク</t>
    </rPh>
    <rPh sb="4" eb="5">
      <t>リョウ</t>
    </rPh>
    <rPh sb="11" eb="12">
      <t>ネン</t>
    </rPh>
    <phoneticPr fontId="1"/>
  </si>
  <si>
    <r>
      <t>Y</t>
    </r>
    <r>
      <rPr>
        <sz val="11"/>
        <color theme="1"/>
        <rFont val="游ゴシック"/>
        <family val="2"/>
        <charset val="128"/>
        <scheme val="minor"/>
      </rPr>
      <t>=4.654Xd</t>
    </r>
    <phoneticPr fontId="1"/>
  </si>
  <si>
    <t>Xd:設備規模(wet-t/日)</t>
    <phoneticPr fontId="1"/>
  </si>
  <si>
    <t>維持管理費（薬品費・高分子凝集剤）</t>
    <rPh sb="0" eb="2">
      <t>イジ</t>
    </rPh>
    <rPh sb="2" eb="5">
      <t>カンリヒ</t>
    </rPh>
    <rPh sb="6" eb="8">
      <t>ヤクヒン</t>
    </rPh>
    <rPh sb="8" eb="9">
      <t>ヒ</t>
    </rPh>
    <rPh sb="13" eb="15">
      <t>ギョウシュウ</t>
    </rPh>
    <rPh sb="15" eb="16">
      <t>ザイ</t>
    </rPh>
    <phoneticPr fontId="1"/>
  </si>
  <si>
    <t>維持管理費（薬品費・ポリ硫酸第二鉄）</t>
    <rPh sb="0" eb="2">
      <t>イジ</t>
    </rPh>
    <rPh sb="2" eb="5">
      <t>カンリヒ</t>
    </rPh>
    <rPh sb="6" eb="8">
      <t>ヤクヒン</t>
    </rPh>
    <rPh sb="8" eb="9">
      <t>ヒ</t>
    </rPh>
    <rPh sb="12" eb="14">
      <t>リュウサン</t>
    </rPh>
    <rPh sb="14" eb="16">
      <t>ダイニ</t>
    </rPh>
    <rPh sb="16" eb="17">
      <t>テツ</t>
    </rPh>
    <phoneticPr fontId="1"/>
  </si>
  <si>
    <t>薬品使用量
（t/年）</t>
    <rPh sb="0" eb="2">
      <t>ヤクヒン</t>
    </rPh>
    <rPh sb="2" eb="5">
      <t>シヨウリョウ</t>
    </rPh>
    <rPh sb="9" eb="10">
      <t>ネン</t>
    </rPh>
    <phoneticPr fontId="1"/>
  </si>
  <si>
    <r>
      <t>ポリ硫酸第二鉄単価(円/t</t>
    </r>
    <r>
      <rPr>
        <sz val="11"/>
        <rFont val="游ゴシック"/>
        <family val="3"/>
        <charset val="128"/>
        <scheme val="minor"/>
      </rPr>
      <t>)</t>
    </r>
    <rPh sb="2" eb="4">
      <t>リュウサン</t>
    </rPh>
    <rPh sb="4" eb="6">
      <t>ダイニ</t>
    </rPh>
    <rPh sb="6" eb="7">
      <t>テツ</t>
    </rPh>
    <rPh sb="7" eb="9">
      <t>タンカ</t>
    </rPh>
    <rPh sb="10" eb="11">
      <t>エン</t>
    </rPh>
    <phoneticPr fontId="1"/>
  </si>
  <si>
    <t>注入率：0.7%－TS</t>
    <rPh sb="0" eb="1">
      <t>チュウ</t>
    </rPh>
    <rPh sb="2" eb="3">
      <t>リツ</t>
    </rPh>
    <phoneticPr fontId="1"/>
  </si>
  <si>
    <t>注入率：5%－TS</t>
    <rPh sb="0" eb="1">
      <t>チュウ</t>
    </rPh>
    <rPh sb="2" eb="3">
      <t>リツ</t>
    </rPh>
    <phoneticPr fontId="1"/>
  </si>
  <si>
    <t>燃焼設備</t>
    <rPh sb="0" eb="2">
      <t>ネンショウ</t>
    </rPh>
    <rPh sb="2" eb="4">
      <t>セツビ</t>
    </rPh>
    <phoneticPr fontId="1"/>
  </si>
  <si>
    <r>
      <t>Y</t>
    </r>
    <r>
      <rPr>
        <sz val="11"/>
        <color theme="1"/>
        <rFont val="游ゴシック"/>
        <family val="2"/>
        <charset val="128"/>
        <scheme val="minor"/>
      </rPr>
      <t>=15.26Xd+115</t>
    </r>
    <phoneticPr fontId="1"/>
  </si>
  <si>
    <t>燃料使用量
（kL/年）</t>
    <rPh sb="0" eb="2">
      <t>ネンリョウ</t>
    </rPh>
    <rPh sb="2" eb="5">
      <t>シヨウリョウ</t>
    </rPh>
    <rPh sb="10" eb="11">
      <t>ネン</t>
    </rPh>
    <phoneticPr fontId="1"/>
  </si>
  <si>
    <r>
      <t>Y</t>
    </r>
    <r>
      <rPr>
        <sz val="11"/>
        <color theme="1"/>
        <rFont val="游ゴシック"/>
        <family val="2"/>
        <charset val="128"/>
        <scheme val="minor"/>
      </rPr>
      <t>=0.252Xd+1.439</t>
    </r>
    <phoneticPr fontId="1"/>
  </si>
  <si>
    <r>
      <t>補助燃料単価(円/L</t>
    </r>
    <r>
      <rPr>
        <sz val="11"/>
        <rFont val="游ゴシック"/>
        <family val="3"/>
        <charset val="128"/>
        <scheme val="minor"/>
      </rPr>
      <t>)</t>
    </r>
    <rPh sb="0" eb="2">
      <t>ホジョ</t>
    </rPh>
    <rPh sb="2" eb="4">
      <t>ネンリョウ</t>
    </rPh>
    <rPh sb="4" eb="6">
      <t>タンカ</t>
    </rPh>
    <rPh sb="7" eb="8">
      <t>エン</t>
    </rPh>
    <phoneticPr fontId="1"/>
  </si>
  <si>
    <t>補助燃料種類：A重油</t>
    <rPh sb="0" eb="2">
      <t>ホジョ</t>
    </rPh>
    <rPh sb="2" eb="4">
      <t>ネンリョウ</t>
    </rPh>
    <rPh sb="4" eb="6">
      <t>シュルイ</t>
    </rPh>
    <rPh sb="8" eb="10">
      <t>ジュウユ</t>
    </rPh>
    <phoneticPr fontId="1"/>
  </si>
  <si>
    <t>維持管理費（灰処分費）</t>
    <rPh sb="0" eb="2">
      <t>イジ</t>
    </rPh>
    <rPh sb="2" eb="5">
      <t>カンリヒ</t>
    </rPh>
    <rPh sb="6" eb="7">
      <t>ハイ</t>
    </rPh>
    <rPh sb="7" eb="9">
      <t>ショブン</t>
    </rPh>
    <rPh sb="9" eb="10">
      <t>ヒ</t>
    </rPh>
    <phoneticPr fontId="1"/>
  </si>
  <si>
    <t>苛性使用量
（t/年）</t>
    <rPh sb="0" eb="2">
      <t>カセイ</t>
    </rPh>
    <rPh sb="2" eb="5">
      <t>シヨウリョウ</t>
    </rPh>
    <rPh sb="9" eb="10">
      <t>ネン</t>
    </rPh>
    <phoneticPr fontId="1"/>
  </si>
  <si>
    <r>
      <t>高分子凝集剤単価</t>
    </r>
    <r>
      <rPr>
        <sz val="11"/>
        <rFont val="游ゴシック"/>
        <family val="2"/>
        <charset val="128"/>
        <scheme val="minor"/>
      </rPr>
      <t>(円/t</t>
    </r>
    <r>
      <rPr>
        <sz val="11"/>
        <rFont val="游ゴシック"/>
        <family val="3"/>
        <charset val="128"/>
        <scheme val="minor"/>
      </rPr>
      <t>)</t>
    </r>
    <rPh sb="0" eb="3">
      <t>コウブンシ</t>
    </rPh>
    <rPh sb="3" eb="5">
      <t>ギョウシュウ</t>
    </rPh>
    <rPh sb="5" eb="6">
      <t>ザイ</t>
    </rPh>
    <rPh sb="6" eb="8">
      <t>タンカ</t>
    </rPh>
    <rPh sb="9" eb="10">
      <t>エン</t>
    </rPh>
    <phoneticPr fontId="1"/>
  </si>
  <si>
    <r>
      <t>苛性ソーダ単価(円/㎏</t>
    </r>
    <r>
      <rPr>
        <sz val="11"/>
        <rFont val="游ゴシック"/>
        <family val="3"/>
        <charset val="128"/>
        <scheme val="minor"/>
      </rPr>
      <t>)</t>
    </r>
    <rPh sb="0" eb="2">
      <t>カセイ</t>
    </rPh>
    <rPh sb="5" eb="7">
      <t>タンカ</t>
    </rPh>
    <rPh sb="8" eb="9">
      <t>エン</t>
    </rPh>
    <phoneticPr fontId="1"/>
  </si>
  <si>
    <t>灰発生量
（t/年）</t>
    <rPh sb="0" eb="1">
      <t>ハイ</t>
    </rPh>
    <rPh sb="1" eb="3">
      <t>ハッセイ</t>
    </rPh>
    <rPh sb="3" eb="4">
      <t>リョウ</t>
    </rPh>
    <rPh sb="8" eb="9">
      <t>ネン</t>
    </rPh>
    <phoneticPr fontId="1"/>
  </si>
  <si>
    <r>
      <t>焼却灰処分単価(円/t</t>
    </r>
    <r>
      <rPr>
        <sz val="11"/>
        <rFont val="游ゴシック"/>
        <family val="3"/>
        <charset val="128"/>
        <scheme val="minor"/>
      </rPr>
      <t>)</t>
    </r>
    <rPh sb="0" eb="3">
      <t>ショウキャクバイ</t>
    </rPh>
    <rPh sb="3" eb="5">
      <t>ショブン</t>
    </rPh>
    <rPh sb="5" eb="7">
      <t>タンカ</t>
    </rPh>
    <rPh sb="8" eb="9">
      <t>エン</t>
    </rPh>
    <phoneticPr fontId="1"/>
  </si>
  <si>
    <t>発電量
（MWh/年）</t>
    <rPh sb="0" eb="2">
      <t>ハツデン</t>
    </rPh>
    <rPh sb="2" eb="3">
      <t>リョウ</t>
    </rPh>
    <rPh sb="3" eb="4">
      <t>リキリョウ</t>
    </rPh>
    <rPh sb="9" eb="10">
      <t>ネン</t>
    </rPh>
    <phoneticPr fontId="1"/>
  </si>
  <si>
    <r>
      <t>Y=発電量(MWh/年)×単価(円/kWh)×10</t>
    </r>
    <r>
      <rPr>
        <vertAlign val="superscript"/>
        <sz val="11"/>
        <color theme="1"/>
        <rFont val="游ゴシック"/>
        <family val="3"/>
        <charset val="128"/>
        <scheme val="minor"/>
      </rPr>
      <t>-3</t>
    </r>
    <rPh sb="2" eb="4">
      <t>ハツデン</t>
    </rPh>
    <rPh sb="4" eb="5">
      <t>リョウ</t>
    </rPh>
    <rPh sb="10" eb="11">
      <t>ネン</t>
    </rPh>
    <rPh sb="13" eb="15">
      <t>タンカ</t>
    </rPh>
    <rPh sb="16" eb="17">
      <t>エン</t>
    </rPh>
    <phoneticPr fontId="1"/>
  </si>
  <si>
    <r>
      <t>Y</t>
    </r>
    <r>
      <rPr>
        <sz val="11"/>
        <color theme="1"/>
        <rFont val="游ゴシック"/>
        <family val="2"/>
        <charset val="128"/>
        <scheme val="minor"/>
      </rPr>
      <t>=0.320Xd+57.44</t>
    </r>
    <phoneticPr fontId="1"/>
  </si>
  <si>
    <r>
      <t>Y</t>
    </r>
    <r>
      <rPr>
        <sz val="11"/>
        <color theme="1"/>
        <rFont val="游ゴシック"/>
        <family val="2"/>
        <charset val="128"/>
        <scheme val="minor"/>
      </rPr>
      <t>=13.04Xd-275.1</t>
    </r>
    <phoneticPr fontId="1"/>
  </si>
  <si>
    <t>エネルギー総出量（発電量）</t>
    <rPh sb="5" eb="6">
      <t>ソウ</t>
    </rPh>
    <rPh sb="6" eb="8">
      <t>シュツリョウ</t>
    </rPh>
    <rPh sb="9" eb="11">
      <t>ハツデン</t>
    </rPh>
    <rPh sb="11" eb="12">
      <t>リョウ</t>
    </rPh>
    <phoneticPr fontId="1"/>
  </si>
  <si>
    <t>その他</t>
    <rPh sb="2" eb="3">
      <t>ホカ</t>
    </rPh>
    <phoneticPr fontId="1"/>
  </si>
  <si>
    <t>維持管理費（人件費）</t>
    <rPh sb="0" eb="2">
      <t>イジ</t>
    </rPh>
    <rPh sb="2" eb="5">
      <t>カンリヒ</t>
    </rPh>
    <rPh sb="6" eb="9">
      <t>ジンケンヒ</t>
    </rPh>
    <phoneticPr fontId="1"/>
  </si>
  <si>
    <t>維持管理費（点検補修費）</t>
    <rPh sb="0" eb="2">
      <t>イジ</t>
    </rPh>
    <rPh sb="2" eb="5">
      <t>カンリヒ</t>
    </rPh>
    <rPh sb="6" eb="8">
      <t>テンケン</t>
    </rPh>
    <rPh sb="8" eb="10">
      <t>ホシュウ</t>
    </rPh>
    <rPh sb="10" eb="11">
      <t>ヒ</t>
    </rPh>
    <phoneticPr fontId="1"/>
  </si>
  <si>
    <t>主任(700万円/年)×１名＋作業員(400万円/年)×１２名</t>
    <rPh sb="0" eb="2">
      <t>シュニン</t>
    </rPh>
    <rPh sb="6" eb="8">
      <t>マンエン</t>
    </rPh>
    <rPh sb="9" eb="10">
      <t>ネン</t>
    </rPh>
    <rPh sb="13" eb="14">
      <t>メイ</t>
    </rPh>
    <rPh sb="15" eb="18">
      <t>サギョウイン</t>
    </rPh>
    <rPh sb="22" eb="24">
      <t>マンエン</t>
    </rPh>
    <rPh sb="25" eb="26">
      <t>ネン</t>
    </rPh>
    <rPh sb="30" eb="31">
      <t>メイ</t>
    </rPh>
    <phoneticPr fontId="1"/>
  </si>
  <si>
    <t>脱水・燃焼設備：建設費×2.4％
発電設備：建設費×1.3％</t>
    <rPh sb="0" eb="2">
      <t>ダッスイ</t>
    </rPh>
    <rPh sb="3" eb="5">
      <t>ネンショウ</t>
    </rPh>
    <rPh sb="5" eb="7">
      <t>セツビ</t>
    </rPh>
    <rPh sb="8" eb="11">
      <t>ケンセツヒ</t>
    </rPh>
    <rPh sb="17" eb="19">
      <t>ハツデン</t>
    </rPh>
    <rPh sb="19" eb="21">
      <t>セツビ</t>
    </rPh>
    <rPh sb="22" eb="25">
      <t>ケンセツヒ</t>
    </rPh>
    <phoneticPr fontId="1"/>
  </si>
  <si>
    <r>
      <t>㋐、Qd：設備規模(m</t>
    </r>
    <r>
      <rPr>
        <vertAlign val="superscript"/>
        <sz val="11"/>
        <color theme="1"/>
        <rFont val="游ゴシック"/>
        <family val="3"/>
        <charset val="128"/>
        <scheme val="minor"/>
      </rPr>
      <t>3</t>
    </r>
    <r>
      <rPr>
        <sz val="11"/>
        <color theme="1"/>
        <rFont val="游ゴシック"/>
        <family val="2"/>
        <charset val="128"/>
        <scheme val="minor"/>
      </rPr>
      <t>-濃縮汚泥/日)</t>
    </r>
    <rPh sb="5" eb="7">
      <t>セツビ</t>
    </rPh>
    <rPh sb="7" eb="9">
      <t>キボ</t>
    </rPh>
    <rPh sb="13" eb="15">
      <t>ノウシュク</t>
    </rPh>
    <rPh sb="15" eb="17">
      <t>オデイ</t>
    </rPh>
    <rPh sb="18" eb="19">
      <t>ニチ</t>
    </rPh>
    <phoneticPr fontId="1"/>
  </si>
  <si>
    <t>㋑</t>
    <phoneticPr fontId="1"/>
  </si>
  <si>
    <t>①、Qy：年間処理濃縮汚泥量(m3-濃縮汚泥/年)</t>
    <rPh sb="5" eb="7">
      <t>ネンカン</t>
    </rPh>
    <rPh sb="7" eb="9">
      <t>ショリ</t>
    </rPh>
    <rPh sb="9" eb="11">
      <t>ノウシュク</t>
    </rPh>
    <rPh sb="11" eb="13">
      <t>オデイ</t>
    </rPh>
    <rPh sb="13" eb="14">
      <t>リョウ</t>
    </rPh>
    <rPh sb="23" eb="24">
      <t>ネン</t>
    </rPh>
    <phoneticPr fontId="1"/>
  </si>
  <si>
    <t>㋒、Xd：設備規模(wet-t/日)</t>
    <phoneticPr fontId="1"/>
  </si>
  <si>
    <t>㋓</t>
    <phoneticPr fontId="1"/>
  </si>
  <si>
    <t>㋔</t>
    <phoneticPr fontId="1"/>
  </si>
  <si>
    <t>②、Xy：年間処理脱水汚泥量(t-wet/年)</t>
    <rPh sb="9" eb="11">
      <t>ダッスイ</t>
    </rPh>
    <phoneticPr fontId="1"/>
  </si>
  <si>
    <t>③、灰含水率：30％</t>
    <rPh sb="2" eb="3">
      <t>ハイ</t>
    </rPh>
    <rPh sb="3" eb="5">
      <t>ガンスイ</t>
    </rPh>
    <rPh sb="5" eb="6">
      <t>リツ</t>
    </rPh>
    <phoneticPr fontId="1"/>
  </si>
  <si>
    <t>㋕</t>
    <phoneticPr fontId="1"/>
  </si>
  <si>
    <t>㋖</t>
    <phoneticPr fontId="1"/>
  </si>
  <si>
    <t>㋗</t>
    <phoneticPr fontId="1"/>
  </si>
  <si>
    <t>㋘</t>
    <phoneticPr fontId="1"/>
  </si>
  <si>
    <t>㋙</t>
    <phoneticPr fontId="1"/>
  </si>
  <si>
    <t>⑨</t>
    <phoneticPr fontId="1"/>
  </si>
  <si>
    <t>⑪</t>
    <phoneticPr fontId="1"/>
  </si>
  <si>
    <t>ａ：㋐+㋑+㋒+㋓+㋔</t>
    <phoneticPr fontId="1"/>
  </si>
  <si>
    <t>ｂ、i：利子率、n：耐用年数
※工種別に年価を算出し、合計する。</t>
    <rPh sb="4" eb="7">
      <t>リシリツ</t>
    </rPh>
    <rPh sb="10" eb="12">
      <t>タイヨウ</t>
    </rPh>
    <rPh sb="12" eb="14">
      <t>ネンスウ</t>
    </rPh>
    <rPh sb="23" eb="25">
      <t>サンシュツ</t>
    </rPh>
    <phoneticPr fontId="1"/>
  </si>
  <si>
    <t>ｃ：①+②+③</t>
    <phoneticPr fontId="1"/>
  </si>
  <si>
    <t>ｅ：㋕+㋖+㋗+㋘+㋙</t>
    <phoneticPr fontId="1"/>
  </si>
  <si>
    <t>ｆ、i：利子率、n：耐用年数
※工種別に年価を算出し、合計する。</t>
    <rPh sb="4" eb="7">
      <t>リシリツ</t>
    </rPh>
    <rPh sb="10" eb="12">
      <t>タイヨウ</t>
    </rPh>
    <rPh sb="12" eb="14">
      <t>ネンスウ</t>
    </rPh>
    <rPh sb="23" eb="25">
      <t>サンシュツ</t>
    </rPh>
    <phoneticPr fontId="1"/>
  </si>
  <si>
    <t>ｇ：④+⑤+⑥+⑦+⑧+⑨+⑩+⑪+⑬+⑭ー⑫</t>
    <phoneticPr fontId="1"/>
  </si>
  <si>
    <t>Ａ：ｂ+ｃ+ｄ</t>
    <phoneticPr fontId="1"/>
  </si>
  <si>
    <t>ｄ：ａ×10％</t>
    <phoneticPr fontId="1"/>
  </si>
  <si>
    <t>ｈ：ｅ×10％</t>
    <phoneticPr fontId="1"/>
  </si>
  <si>
    <t>Ｂ：ｆ+ｇ+ｈ</t>
    <phoneticPr fontId="1"/>
  </si>
  <si>
    <t>(１-Ｂ/Ａ)×100</t>
    <phoneticPr fontId="1"/>
  </si>
  <si>
    <t>消費電力量（脱水設備）</t>
    <rPh sb="0" eb="2">
      <t>ショウヒ</t>
    </rPh>
    <rPh sb="2" eb="4">
      <t>デンリョク</t>
    </rPh>
    <rPh sb="4" eb="5">
      <t>リョウ</t>
    </rPh>
    <rPh sb="6" eb="8">
      <t>ダッスイ</t>
    </rPh>
    <rPh sb="8" eb="10">
      <t>セツビ</t>
    </rPh>
    <phoneticPr fontId="1"/>
  </si>
  <si>
    <t>消費電力量（焼却設備）</t>
    <rPh sb="0" eb="2">
      <t>ショウヒ</t>
    </rPh>
    <rPh sb="2" eb="4">
      <t>デンリョク</t>
    </rPh>
    <rPh sb="4" eb="5">
      <t>リョウ</t>
    </rPh>
    <rPh sb="6" eb="8">
      <t>ショウキャク</t>
    </rPh>
    <rPh sb="8" eb="10">
      <t>セツビ</t>
    </rPh>
    <phoneticPr fontId="1"/>
  </si>
  <si>
    <t>⑵</t>
    <phoneticPr fontId="1"/>
  </si>
  <si>
    <t>⑶</t>
    <phoneticPr fontId="1"/>
  </si>
  <si>
    <t>Ｃ：⑴+⑵+⑶</t>
    <phoneticPr fontId="1"/>
  </si>
  <si>
    <t>換算係数(kWh/MJ)</t>
    <rPh sb="0" eb="2">
      <t>カンサン</t>
    </rPh>
    <rPh sb="2" eb="4">
      <t>ケイスウ</t>
    </rPh>
    <phoneticPr fontId="1"/>
  </si>
  <si>
    <t>消費電力量（発電設備）</t>
    <rPh sb="0" eb="2">
      <t>ショウヒ</t>
    </rPh>
    <rPh sb="2" eb="4">
      <t>デンリョク</t>
    </rPh>
    <rPh sb="4" eb="5">
      <t>リョウ</t>
    </rPh>
    <rPh sb="6" eb="8">
      <t>ハツデン</t>
    </rPh>
    <rPh sb="8" eb="10">
      <t>セツビ</t>
    </rPh>
    <phoneticPr fontId="1"/>
  </si>
  <si>
    <r>
      <t>Ｄ：</t>
    </r>
    <r>
      <rPr>
        <sz val="11"/>
        <rFont val="游ゴシック"/>
        <family val="3"/>
        <charset val="128"/>
      </rPr>
      <t>⑷+⑸+⑹+⑺</t>
    </r>
    <phoneticPr fontId="1"/>
  </si>
  <si>
    <t>⑺</t>
    <phoneticPr fontId="1"/>
  </si>
  <si>
    <t>⑹</t>
    <phoneticPr fontId="1"/>
  </si>
  <si>
    <t>⑸</t>
    <phoneticPr fontId="1"/>
  </si>
  <si>
    <t>⑷</t>
    <phoneticPr fontId="1"/>
  </si>
  <si>
    <t>Ｅ</t>
    <phoneticPr fontId="1"/>
  </si>
  <si>
    <t>{1-(Ｄ－Ｅ)/Ｃ}×100</t>
    <phoneticPr fontId="1"/>
  </si>
  <si>
    <t>ＭWh/年</t>
    <rPh sb="4" eb="5">
      <t>ネン</t>
    </rPh>
    <phoneticPr fontId="1"/>
  </si>
  <si>
    <t>Y=消費電力量(脱水設備)+消費電力量(焼却設備)</t>
    <rPh sb="2" eb="4">
      <t>ショウヒ</t>
    </rPh>
    <rPh sb="4" eb="6">
      <t>デンリョク</t>
    </rPh>
    <rPh sb="6" eb="7">
      <t>リョウ</t>
    </rPh>
    <rPh sb="8" eb="10">
      <t>ダッスイ</t>
    </rPh>
    <rPh sb="10" eb="12">
      <t>セツビ</t>
    </rPh>
    <rPh sb="20" eb="22">
      <t>ショウキャク</t>
    </rPh>
    <phoneticPr fontId="1"/>
  </si>
  <si>
    <t>⑴+⑵</t>
    <phoneticPr fontId="1"/>
  </si>
  <si>
    <t>薬品由来GHG排出量</t>
    <rPh sb="0" eb="2">
      <t>ヤクヒン</t>
    </rPh>
    <rPh sb="2" eb="4">
      <t>ユライ</t>
    </rPh>
    <rPh sb="7" eb="10">
      <t>ハイシュツリョウ</t>
    </rPh>
    <phoneticPr fontId="1"/>
  </si>
  <si>
    <t>Y=エネルギー使用量(GJ/年)×換算係数(kWh/MJ)</t>
    <rPh sb="7" eb="10">
      <t>シヨウリョウ</t>
    </rPh>
    <rPh sb="14" eb="15">
      <t>ネン</t>
    </rPh>
    <rPh sb="17" eb="19">
      <t>カンザン</t>
    </rPh>
    <rPh sb="19" eb="21">
      <t>ケイスウ</t>
    </rPh>
    <phoneticPr fontId="1"/>
  </si>
  <si>
    <r>
      <t>Y=N</t>
    </r>
    <r>
      <rPr>
        <vertAlign val="subscript"/>
        <sz val="11"/>
        <color theme="1"/>
        <rFont val="游ゴシック"/>
        <family val="3"/>
        <charset val="128"/>
        <scheme val="minor"/>
      </rPr>
      <t>2</t>
    </r>
    <r>
      <rPr>
        <sz val="11"/>
        <color theme="1"/>
        <rFont val="游ゴシック"/>
        <family val="2"/>
        <charset val="128"/>
        <scheme val="minor"/>
      </rPr>
      <t>O排出量(t-N</t>
    </r>
    <r>
      <rPr>
        <vertAlign val="subscript"/>
        <sz val="11"/>
        <color theme="1"/>
        <rFont val="游ゴシック"/>
        <family val="3"/>
        <charset val="128"/>
        <scheme val="minor"/>
      </rPr>
      <t>2</t>
    </r>
    <r>
      <rPr>
        <sz val="11"/>
        <color theme="1"/>
        <rFont val="游ゴシック"/>
        <family val="2"/>
        <charset val="128"/>
        <scheme val="minor"/>
      </rPr>
      <t>O/年)×N</t>
    </r>
    <r>
      <rPr>
        <vertAlign val="subscript"/>
        <sz val="11"/>
        <color theme="1"/>
        <rFont val="游ゴシック"/>
        <family val="3"/>
        <charset val="128"/>
        <scheme val="minor"/>
      </rPr>
      <t>2</t>
    </r>
    <r>
      <rPr>
        <sz val="11"/>
        <color theme="1"/>
        <rFont val="游ゴシック"/>
        <family val="2"/>
        <charset val="128"/>
        <scheme val="minor"/>
      </rPr>
      <t>O地球温暖化係数(t-CO</t>
    </r>
    <r>
      <rPr>
        <vertAlign val="subscript"/>
        <sz val="11"/>
        <color theme="1"/>
        <rFont val="游ゴシック"/>
        <family val="3"/>
        <charset val="128"/>
        <scheme val="minor"/>
      </rPr>
      <t>2</t>
    </r>
    <r>
      <rPr>
        <sz val="11"/>
        <color theme="1"/>
        <rFont val="游ゴシック"/>
        <family val="2"/>
        <charset val="128"/>
        <scheme val="minor"/>
      </rPr>
      <t>/t-N</t>
    </r>
    <r>
      <rPr>
        <vertAlign val="subscript"/>
        <sz val="11"/>
        <color theme="1"/>
        <rFont val="游ゴシック"/>
        <family val="3"/>
        <charset val="128"/>
        <scheme val="minor"/>
      </rPr>
      <t>2</t>
    </r>
    <r>
      <rPr>
        <sz val="11"/>
        <color theme="1"/>
        <rFont val="游ゴシック"/>
        <family val="2"/>
        <charset val="128"/>
        <scheme val="minor"/>
      </rPr>
      <t>O)</t>
    </r>
    <rPh sb="5" eb="8">
      <t>ハイシュツリョウ</t>
    </rPh>
    <rPh sb="15" eb="16">
      <t>ネン</t>
    </rPh>
    <phoneticPr fontId="1"/>
  </si>
  <si>
    <t>❶</t>
    <phoneticPr fontId="1"/>
  </si>
  <si>
    <t>❷</t>
    <phoneticPr fontId="1"/>
  </si>
  <si>
    <t>❸</t>
    <phoneticPr fontId="1"/>
  </si>
  <si>
    <t>維持管理費（薬品費・苛性ソーダ）</t>
    <rPh sb="0" eb="2">
      <t>イジ</t>
    </rPh>
    <rPh sb="2" eb="5">
      <t>カンリヒ</t>
    </rPh>
    <rPh sb="6" eb="8">
      <t>ヤクヒン</t>
    </rPh>
    <rPh sb="8" eb="9">
      <t>ヒ</t>
    </rPh>
    <rPh sb="10" eb="12">
      <t>カセイ</t>
    </rPh>
    <phoneticPr fontId="1"/>
  </si>
  <si>
    <t>維持管理費（補助燃料費）</t>
    <rPh sb="0" eb="2">
      <t>イジ</t>
    </rPh>
    <rPh sb="2" eb="5">
      <t>カンリヒ</t>
    </rPh>
    <rPh sb="6" eb="8">
      <t>ホジョ</t>
    </rPh>
    <rPh sb="8" eb="10">
      <t>ネンリョウ</t>
    </rPh>
    <rPh sb="10" eb="11">
      <t>ヒ</t>
    </rPh>
    <phoneticPr fontId="1"/>
  </si>
  <si>
    <t>解体・廃棄時GHG排出量</t>
    <rPh sb="0" eb="2">
      <t>カイタイ</t>
    </rPh>
    <rPh sb="3" eb="5">
      <t>ハイキ</t>
    </rPh>
    <rPh sb="5" eb="6">
      <t>ジ</t>
    </rPh>
    <phoneticPr fontId="1"/>
  </si>
  <si>
    <r>
      <t>Y=年間CO</t>
    </r>
    <r>
      <rPr>
        <vertAlign val="subscript"/>
        <sz val="11"/>
        <color theme="1"/>
        <rFont val="游ゴシック"/>
        <family val="3"/>
        <charset val="128"/>
        <scheme val="minor"/>
      </rPr>
      <t>2</t>
    </r>
    <r>
      <rPr>
        <sz val="11"/>
        <color theme="1"/>
        <rFont val="游ゴシック"/>
        <family val="2"/>
        <charset val="128"/>
        <scheme val="minor"/>
      </rPr>
      <t>排出量(t-CO</t>
    </r>
    <r>
      <rPr>
        <vertAlign val="subscript"/>
        <sz val="11"/>
        <color theme="1"/>
        <rFont val="游ゴシック"/>
        <family val="3"/>
        <charset val="128"/>
        <scheme val="minor"/>
      </rPr>
      <t>2</t>
    </r>
    <r>
      <rPr>
        <sz val="11"/>
        <color theme="1"/>
        <rFont val="游ゴシック"/>
        <family val="2"/>
        <charset val="128"/>
        <scheme val="minor"/>
      </rPr>
      <t>/年)×排出比率24.69％</t>
    </r>
    <rPh sb="2" eb="4">
      <t>ネンカン</t>
    </rPh>
    <rPh sb="7" eb="9">
      <t>ハイシュツ</t>
    </rPh>
    <rPh sb="9" eb="10">
      <t>リョウ</t>
    </rPh>
    <rPh sb="17" eb="18">
      <t>ネン</t>
    </rPh>
    <rPh sb="20" eb="22">
      <t>ハイシュツ</t>
    </rPh>
    <rPh sb="22" eb="24">
      <t>ヒリツ</t>
    </rPh>
    <phoneticPr fontId="1"/>
  </si>
  <si>
    <r>
      <t>Ｆ：</t>
    </r>
    <r>
      <rPr>
        <sz val="11"/>
        <color theme="1"/>
        <rFont val="游ゴシック"/>
        <family val="3"/>
        <charset val="128"/>
      </rPr>
      <t>❶+❷+❸+❹+❺</t>
    </r>
    <phoneticPr fontId="1"/>
  </si>
  <si>
    <t>❺：（❶+❷+❹）×24.69％</t>
    <phoneticPr fontId="1"/>
  </si>
  <si>
    <t>Y=0.516Xd</t>
    <phoneticPr fontId="1"/>
  </si>
  <si>
    <t>Y=3.688Xd</t>
    <phoneticPr fontId="1"/>
  </si>
  <si>
    <t>Y=4.050Xd</t>
    <phoneticPr fontId="1"/>
  </si>
  <si>
    <t>Y=17.101Xd</t>
    <phoneticPr fontId="1"/>
  </si>
  <si>
    <t>❹：高分子凝集剤使用量=Xy×(1-含水率)×0.5％
　　苛性ソーダ使用量=Xy×0.661％</t>
    <rPh sb="2" eb="5">
      <t>コウブンシ</t>
    </rPh>
    <rPh sb="5" eb="7">
      <t>ギョウシュウ</t>
    </rPh>
    <rPh sb="7" eb="8">
      <t>ザイ</t>
    </rPh>
    <rPh sb="8" eb="10">
      <t>シヨウ</t>
    </rPh>
    <rPh sb="10" eb="11">
      <t>リョウ</t>
    </rPh>
    <rPh sb="18" eb="20">
      <t>ガンスイ</t>
    </rPh>
    <rPh sb="20" eb="21">
      <t>リツ</t>
    </rPh>
    <rPh sb="30" eb="32">
      <t>カセイ</t>
    </rPh>
    <rPh sb="35" eb="37">
      <t>シヨウ</t>
    </rPh>
    <rPh sb="37" eb="38">
      <t>リョウ</t>
    </rPh>
    <phoneticPr fontId="1"/>
  </si>
  <si>
    <t>⑷+⑸+⑹</t>
    <phoneticPr fontId="1"/>
  </si>
  <si>
    <t>Y=消費電力量(脱水・燃焼・発電設備)</t>
    <rPh sb="2" eb="4">
      <t>ショウヒ</t>
    </rPh>
    <rPh sb="4" eb="6">
      <t>デンリョク</t>
    </rPh>
    <rPh sb="6" eb="7">
      <t>リョウ</t>
    </rPh>
    <rPh sb="8" eb="10">
      <t>ダッスイ</t>
    </rPh>
    <rPh sb="11" eb="13">
      <t>ネンショウ</t>
    </rPh>
    <rPh sb="14" eb="16">
      <t>ハツデン</t>
    </rPh>
    <rPh sb="16" eb="18">
      <t>セツビ</t>
    </rPh>
    <phoneticPr fontId="1"/>
  </si>
  <si>
    <t>Ｈ</t>
    <phoneticPr fontId="1"/>
  </si>
  <si>
    <t>{１-(Ｇ－Ｈ)/Ｆ}×100</t>
    <phoneticPr fontId="1"/>
  </si>
  <si>
    <t>Ｇ：❻+❼+❽+❾+❿</t>
    <phoneticPr fontId="1"/>
  </si>
  <si>
    <t>❻</t>
    <phoneticPr fontId="1"/>
  </si>
  <si>
    <t>❼</t>
    <phoneticPr fontId="1"/>
  </si>
  <si>
    <t>❽</t>
    <phoneticPr fontId="1"/>
  </si>
  <si>
    <t>❾</t>
    <phoneticPr fontId="1"/>
  </si>
  <si>
    <t>❿：（❻+❼+❾）×24.69％</t>
    <phoneticPr fontId="1"/>
  </si>
  <si>
    <t>Y=4.654Xd</t>
    <phoneticPr fontId="1"/>
  </si>
  <si>
    <r>
      <t>Y=消費電力量(MWh/年)×単価(円/kWh)×10</t>
    </r>
    <r>
      <rPr>
        <vertAlign val="superscript"/>
        <sz val="11"/>
        <rFont val="游ゴシック"/>
        <family val="3"/>
        <charset val="128"/>
        <scheme val="minor"/>
      </rPr>
      <t>-3</t>
    </r>
    <rPh sb="2" eb="4">
      <t>ショウヒ</t>
    </rPh>
    <rPh sb="4" eb="7">
      <t>デンリョクリョウ</t>
    </rPh>
    <rPh sb="12" eb="13">
      <t>ネン</t>
    </rPh>
    <rPh sb="15" eb="17">
      <t>タンカ</t>
    </rPh>
    <rPh sb="18" eb="19">
      <t>エン</t>
    </rPh>
    <phoneticPr fontId="1"/>
  </si>
  <si>
    <r>
      <t>Y=薬品使用量(t/年)×単価(円/t)×10</t>
    </r>
    <r>
      <rPr>
        <vertAlign val="superscript"/>
        <sz val="11"/>
        <rFont val="游ゴシック"/>
        <family val="3"/>
        <charset val="128"/>
        <scheme val="minor"/>
      </rPr>
      <t>-3</t>
    </r>
    <rPh sb="2" eb="4">
      <t>ヤクヒン</t>
    </rPh>
    <rPh sb="4" eb="7">
      <t>シヨウリョウ</t>
    </rPh>
    <rPh sb="10" eb="11">
      <t>ネン</t>
    </rPh>
    <rPh sb="13" eb="15">
      <t>タンカ</t>
    </rPh>
    <rPh sb="16" eb="17">
      <t>エン</t>
    </rPh>
    <phoneticPr fontId="1"/>
  </si>
  <si>
    <t>Y=0.438Xd+117</t>
    <phoneticPr fontId="1"/>
  </si>
  <si>
    <t>Y=9.000Xd+1,533</t>
    <phoneticPr fontId="1"/>
  </si>
  <si>
    <t>Y=1.000Xd+600</t>
    <phoneticPr fontId="1"/>
  </si>
  <si>
    <t>Y=15.26Xd+115</t>
    <phoneticPr fontId="1"/>
  </si>
  <si>
    <t>Y=0.252Xd+1.439</t>
    <phoneticPr fontId="1"/>
  </si>
  <si>
    <r>
      <t>Y=燃料使用量(kL/年)×単価(円/L)×10</t>
    </r>
    <r>
      <rPr>
        <vertAlign val="superscript"/>
        <sz val="11"/>
        <rFont val="游ゴシック"/>
        <family val="3"/>
        <charset val="128"/>
        <scheme val="minor"/>
      </rPr>
      <t>-3</t>
    </r>
    <rPh sb="2" eb="4">
      <t>ネンリョウ</t>
    </rPh>
    <rPh sb="4" eb="7">
      <t>シヨウリョウ</t>
    </rPh>
    <rPh sb="11" eb="12">
      <t>ネン</t>
    </rPh>
    <rPh sb="14" eb="16">
      <t>タンカ</t>
    </rPh>
    <rPh sb="17" eb="18">
      <t>エン</t>
    </rPh>
    <phoneticPr fontId="1"/>
  </si>
  <si>
    <r>
      <t>Y=苛性使用量(t/年)×単価(円/㎏)×10</t>
    </r>
    <r>
      <rPr>
        <vertAlign val="superscript"/>
        <sz val="11"/>
        <rFont val="游ゴシック"/>
        <family val="3"/>
        <charset val="128"/>
        <scheme val="minor"/>
      </rPr>
      <t>-3</t>
    </r>
    <rPh sb="2" eb="4">
      <t>カセイ</t>
    </rPh>
    <rPh sb="4" eb="7">
      <t>シヨウリョウ</t>
    </rPh>
    <rPh sb="10" eb="11">
      <t>ネン</t>
    </rPh>
    <rPh sb="13" eb="15">
      <t>タンカ</t>
    </rPh>
    <rPh sb="16" eb="17">
      <t>エン</t>
    </rPh>
    <phoneticPr fontId="1"/>
  </si>
  <si>
    <r>
      <t>Y=灰発生量(t/年)×処分単価(円/t)×10</t>
    </r>
    <r>
      <rPr>
        <vertAlign val="superscript"/>
        <sz val="11"/>
        <rFont val="游ゴシック"/>
        <family val="3"/>
        <charset val="128"/>
        <scheme val="minor"/>
      </rPr>
      <t>-6</t>
    </r>
    <rPh sb="2" eb="3">
      <t>ハイ</t>
    </rPh>
    <rPh sb="3" eb="5">
      <t>ハッセイ</t>
    </rPh>
    <rPh sb="5" eb="6">
      <t>リョウ</t>
    </rPh>
    <rPh sb="9" eb="10">
      <t>ネン</t>
    </rPh>
    <rPh sb="12" eb="14">
      <t>ショブン</t>
    </rPh>
    <rPh sb="14" eb="16">
      <t>タンカ</t>
    </rPh>
    <rPh sb="17" eb="18">
      <t>エン</t>
    </rPh>
    <phoneticPr fontId="1"/>
  </si>
  <si>
    <t>Y=0.772Xd+282</t>
    <phoneticPr fontId="1"/>
  </si>
  <si>
    <t>Y=0.320Xd+57.44</t>
    <phoneticPr fontId="1"/>
  </si>
  <si>
    <t>Y=13.04Xd-275.1</t>
    <phoneticPr fontId="1"/>
  </si>
  <si>
    <t>従来技術緒元</t>
    <rPh sb="0" eb="2">
      <t>ジュウライ</t>
    </rPh>
    <rPh sb="2" eb="4">
      <t>ギジュツ</t>
    </rPh>
    <rPh sb="4" eb="6">
      <t>ショゲン</t>
    </rPh>
    <phoneticPr fontId="1"/>
  </si>
  <si>
    <t>単価等設定</t>
    <rPh sb="0" eb="2">
      <t>タンカ</t>
    </rPh>
    <rPh sb="2" eb="3">
      <t>ナド</t>
    </rPh>
    <rPh sb="3" eb="5">
      <t>セッテイ</t>
    </rPh>
    <phoneticPr fontId="1"/>
  </si>
  <si>
    <t>(48%濃度)</t>
    <rPh sb="4" eb="6">
      <t>ノウド</t>
    </rPh>
    <phoneticPr fontId="1"/>
  </si>
  <si>
    <t>(A重油)</t>
    <phoneticPr fontId="1"/>
  </si>
  <si>
    <r>
      <t>補助燃料使用量(kLor千m3/年)</t>
    </r>
    <r>
      <rPr>
        <vertAlign val="superscript"/>
        <sz val="11"/>
        <rFont val="游ゴシック"/>
        <family val="3"/>
        <charset val="128"/>
        <scheme val="minor"/>
      </rPr>
      <t>※1</t>
    </r>
    <rPh sb="0" eb="2">
      <t>ホジョ</t>
    </rPh>
    <rPh sb="2" eb="4">
      <t>ネンリョウ</t>
    </rPh>
    <rPh sb="4" eb="7">
      <t>シヨウリョウ</t>
    </rPh>
    <rPh sb="12" eb="13">
      <t>セン</t>
    </rPh>
    <rPh sb="16" eb="17">
      <t>ネン</t>
    </rPh>
    <phoneticPr fontId="1"/>
  </si>
  <si>
    <t>燃料使用量</t>
    <rPh sb="0" eb="2">
      <t>ネンリョウ</t>
    </rPh>
    <rPh sb="2" eb="5">
      <t>シヨウリョウ</t>
    </rPh>
    <phoneticPr fontId="1"/>
  </si>
  <si>
    <t>(千m3/年）</t>
    <rPh sb="1" eb="2">
      <t>セン</t>
    </rPh>
    <rPh sb="5" eb="6">
      <t>ネン</t>
    </rPh>
    <phoneticPr fontId="1"/>
  </si>
  <si>
    <t>(kL/年）</t>
    <rPh sb="4" eb="5">
      <t>ネン</t>
    </rPh>
    <phoneticPr fontId="1"/>
  </si>
  <si>
    <r>
      <rPr>
        <sz val="11"/>
        <color theme="1"/>
        <rFont val="游ゴシック"/>
        <family val="3"/>
        <charset val="128"/>
        <scheme val="minor"/>
      </rPr>
      <t>(</t>
    </r>
    <r>
      <rPr>
        <sz val="11"/>
        <color theme="1"/>
        <rFont val="游ゴシック"/>
        <family val="2"/>
        <charset val="128"/>
        <scheme val="minor"/>
      </rPr>
      <t>MJ/Nm</t>
    </r>
    <r>
      <rPr>
        <vertAlign val="superscript"/>
        <sz val="11"/>
        <color theme="1"/>
        <rFont val="游ゴシック"/>
        <family val="3"/>
        <charset val="128"/>
        <scheme val="minor"/>
      </rPr>
      <t>3)</t>
    </r>
    <phoneticPr fontId="1"/>
  </si>
  <si>
    <t>(MJ/L)</t>
    <phoneticPr fontId="1"/>
  </si>
  <si>
    <t>実績値(セルD10)</t>
    <rPh sb="0" eb="2">
      <t>ジッセキ</t>
    </rPh>
    <rPh sb="2" eb="3">
      <t>チ</t>
    </rPh>
    <phoneticPr fontId="1"/>
  </si>
  <si>
    <t>(H15年度を基準としたH25年度のデフレータ：1.096449)</t>
    <rPh sb="4" eb="6">
      <t>ネンド</t>
    </rPh>
    <rPh sb="7" eb="9">
      <t>キジュン</t>
    </rPh>
    <rPh sb="15" eb="16">
      <t>ネン</t>
    </rPh>
    <rPh sb="16" eb="17">
      <t>ド</t>
    </rPh>
    <phoneticPr fontId="1"/>
  </si>
  <si>
    <t>(固定値)</t>
    <rPh sb="1" eb="3">
      <t>コテイ</t>
    </rPh>
    <rPh sb="3" eb="4">
      <t>チ</t>
    </rPh>
    <phoneticPr fontId="1"/>
  </si>
  <si>
    <t>※1 検討処理場の実績値を入力する。消化ガス(バイオマス系燃料)は試算対象外である。</t>
    <rPh sb="5" eb="8">
      <t>ショリジョウ</t>
    </rPh>
    <rPh sb="13" eb="15">
      <t>ニュウリョク</t>
    </rPh>
    <phoneticPr fontId="1"/>
  </si>
  <si>
    <r>
      <t>焼却設備電力使用量(MWh/年)</t>
    </r>
    <r>
      <rPr>
        <vertAlign val="superscript"/>
        <sz val="11"/>
        <color theme="1"/>
        <rFont val="游ゴシック"/>
        <family val="3"/>
        <charset val="128"/>
        <scheme val="minor"/>
      </rPr>
      <t>※1</t>
    </r>
    <rPh sb="0" eb="2">
      <t>ショウキャク</t>
    </rPh>
    <rPh sb="2" eb="4">
      <t>セツビ</t>
    </rPh>
    <rPh sb="4" eb="6">
      <t>デンリョク</t>
    </rPh>
    <rPh sb="6" eb="9">
      <t>シヨウリョウ</t>
    </rPh>
    <rPh sb="14" eb="15">
      <t>ネン</t>
    </rPh>
    <phoneticPr fontId="1"/>
  </si>
  <si>
    <r>
      <t>脱水設備電力使用量(MWh/年)</t>
    </r>
    <r>
      <rPr>
        <vertAlign val="superscript"/>
        <sz val="11"/>
        <color theme="1"/>
        <rFont val="游ゴシック"/>
        <family val="3"/>
        <charset val="128"/>
        <scheme val="minor"/>
      </rPr>
      <t>※1</t>
    </r>
    <rPh sb="0" eb="2">
      <t>ダッスイ</t>
    </rPh>
    <rPh sb="2" eb="4">
      <t>セツビ</t>
    </rPh>
    <rPh sb="4" eb="6">
      <t>デンリョク</t>
    </rPh>
    <rPh sb="6" eb="9">
      <t>シヨウリョウ</t>
    </rPh>
    <rPh sb="14" eb="15">
      <t>ネン</t>
    </rPh>
    <phoneticPr fontId="1"/>
  </si>
  <si>
    <t>48％濃度NaOH</t>
    <rPh sb="3" eb="5">
      <t>ノウド</t>
    </rPh>
    <phoneticPr fontId="1"/>
  </si>
  <si>
    <t>実績値(セルD11)</t>
    <rPh sb="0" eb="2">
      <t>ジッセキ</t>
    </rPh>
    <rPh sb="2" eb="3">
      <t>チ</t>
    </rPh>
    <phoneticPr fontId="1"/>
  </si>
  <si>
    <t>実績値(セルD13)</t>
    <rPh sb="0" eb="2">
      <t>ジッセキ</t>
    </rPh>
    <rPh sb="2" eb="3">
      <t>チ</t>
    </rPh>
    <phoneticPr fontId="1"/>
  </si>
  <si>
    <t>⑴</t>
    <phoneticPr fontId="1"/>
  </si>
  <si>
    <t>・</t>
    <phoneticPr fontId="1"/>
  </si>
  <si>
    <t>(100≦Xd≦300)</t>
    <phoneticPr fontId="1"/>
  </si>
  <si>
    <r>
      <t>N</t>
    </r>
    <r>
      <rPr>
        <vertAlign val="subscript"/>
        <sz val="11"/>
        <rFont val="游ゴシック"/>
        <family val="3"/>
        <charset val="128"/>
        <scheme val="minor"/>
      </rPr>
      <t>2</t>
    </r>
    <r>
      <rPr>
        <sz val="11"/>
        <rFont val="游ゴシック"/>
        <family val="3"/>
        <charset val="128"/>
        <scheme val="minor"/>
      </rPr>
      <t>O排出量
(t-N</t>
    </r>
    <r>
      <rPr>
        <vertAlign val="subscript"/>
        <sz val="11"/>
        <rFont val="游ゴシック"/>
        <family val="3"/>
        <charset val="128"/>
        <scheme val="minor"/>
      </rPr>
      <t>2</t>
    </r>
    <r>
      <rPr>
        <sz val="11"/>
        <rFont val="游ゴシック"/>
        <family val="3"/>
        <charset val="128"/>
        <scheme val="minor"/>
      </rPr>
      <t>O/年)</t>
    </r>
    <rPh sb="3" eb="6">
      <t>ハイシュツリョウ</t>
    </rPh>
    <rPh sb="14" eb="15">
      <t>ネン</t>
    </rPh>
    <phoneticPr fontId="1"/>
  </si>
  <si>
    <t>＜その他条件、本Excel使用時の注意事項＞</t>
    <rPh sb="3" eb="4">
      <t>タ</t>
    </rPh>
    <rPh sb="4" eb="6">
      <t>ジョウケン</t>
    </rPh>
    <rPh sb="7" eb="8">
      <t>ホン</t>
    </rPh>
    <rPh sb="13" eb="16">
      <t>シヨウジ</t>
    </rPh>
    <rPh sb="17" eb="19">
      <t>チュウイ</t>
    </rPh>
    <rPh sb="19" eb="21">
      <t>ジコウ</t>
    </rPh>
    <phoneticPr fontId="1"/>
  </si>
  <si>
    <t>本革新的技術は、脱水、燃焼、発電の３技術を個別導入することも可能であるが、本Excelは３技術の一括導入時の効果算定を行うものである。</t>
    <rPh sb="0" eb="1">
      <t>ホン</t>
    </rPh>
    <rPh sb="1" eb="4">
      <t>カクシンテキ</t>
    </rPh>
    <rPh sb="4" eb="6">
      <t>ギジュツ</t>
    </rPh>
    <rPh sb="8" eb="10">
      <t>ダッスイ</t>
    </rPh>
    <rPh sb="11" eb="13">
      <t>ネンショウ</t>
    </rPh>
    <rPh sb="14" eb="16">
      <t>ハツデン</t>
    </rPh>
    <rPh sb="18" eb="20">
      <t>ギジュツ</t>
    </rPh>
    <rPh sb="21" eb="23">
      <t>コベツ</t>
    </rPh>
    <rPh sb="23" eb="25">
      <t>ドウニュウ</t>
    </rPh>
    <rPh sb="30" eb="32">
      <t>カノウ</t>
    </rPh>
    <rPh sb="37" eb="38">
      <t>ホン</t>
    </rPh>
    <rPh sb="45" eb="47">
      <t>ギジュツ</t>
    </rPh>
    <rPh sb="48" eb="50">
      <t>イッカツ</t>
    </rPh>
    <rPh sb="50" eb="52">
      <t>ドウニュウ</t>
    </rPh>
    <rPh sb="52" eb="53">
      <t>ジ</t>
    </rPh>
    <rPh sb="54" eb="56">
      <t>コウカ</t>
    </rPh>
    <rPh sb="56" eb="58">
      <t>サンテイ</t>
    </rPh>
    <rPh sb="59" eb="60">
      <t>オコナ</t>
    </rPh>
    <phoneticPr fontId="1"/>
  </si>
  <si>
    <t>発電設備のみの導入判定を行う場合は、ガイドラインp176）表資3-9「発電設備の運転利益（規模別）」等も参考とできる。</t>
    <rPh sb="0" eb="2">
      <t>ハツデン</t>
    </rPh>
    <rPh sb="2" eb="4">
      <t>セツビ</t>
    </rPh>
    <rPh sb="7" eb="9">
      <t>ドウニュウ</t>
    </rPh>
    <rPh sb="9" eb="11">
      <t>ハンテイ</t>
    </rPh>
    <rPh sb="12" eb="13">
      <t>オコナ</t>
    </rPh>
    <rPh sb="14" eb="16">
      <t>バアイ</t>
    </rPh>
    <rPh sb="29" eb="30">
      <t>ヒョウ</t>
    </rPh>
    <rPh sb="30" eb="31">
      <t>シ</t>
    </rPh>
    <rPh sb="35" eb="37">
      <t>ハツデン</t>
    </rPh>
    <rPh sb="37" eb="39">
      <t>セツビ</t>
    </rPh>
    <rPh sb="40" eb="42">
      <t>ウンテン</t>
    </rPh>
    <rPh sb="42" eb="44">
      <t>リエキ</t>
    </rPh>
    <rPh sb="45" eb="48">
      <t>キボベツ</t>
    </rPh>
    <rPh sb="50" eb="51">
      <t>ナド</t>
    </rPh>
    <rPh sb="52" eb="54">
      <t>サンコウ</t>
    </rPh>
    <phoneticPr fontId="1"/>
  </si>
  <si>
    <t>※汚泥組成、発熱量、負荷率、二次処理水温度等については、ガイドラインp31）表2-7「評価の前提条件」に記載あり</t>
    <rPh sb="52" eb="54">
      <t>キサイ</t>
    </rPh>
    <phoneticPr fontId="1"/>
  </si>
  <si>
    <t>本Excelでは、主に施設規模を変えた場合における本技術の導入効果を試算する。汚泥性状等の試算の前提条件については、ガイドラインに基づくものとする。</t>
    <rPh sb="0" eb="1">
      <t>ホン</t>
    </rPh>
    <rPh sb="9" eb="10">
      <t>オモ</t>
    </rPh>
    <rPh sb="11" eb="13">
      <t>シセツ</t>
    </rPh>
    <rPh sb="13" eb="15">
      <t>キボ</t>
    </rPh>
    <rPh sb="16" eb="17">
      <t>カ</t>
    </rPh>
    <rPh sb="19" eb="21">
      <t>バアイ</t>
    </rPh>
    <rPh sb="25" eb="26">
      <t>ホン</t>
    </rPh>
    <rPh sb="26" eb="28">
      <t>ギジュツ</t>
    </rPh>
    <rPh sb="29" eb="31">
      <t>ドウニュウ</t>
    </rPh>
    <rPh sb="31" eb="33">
      <t>コウカ</t>
    </rPh>
    <rPh sb="34" eb="36">
      <t>シサン</t>
    </rPh>
    <rPh sb="39" eb="41">
      <t>オデイ</t>
    </rPh>
    <rPh sb="41" eb="43">
      <t>セイジョウ</t>
    </rPh>
    <rPh sb="43" eb="44">
      <t>ナド</t>
    </rPh>
    <rPh sb="48" eb="50">
      <t>ゼンテイ</t>
    </rPh>
    <rPh sb="50" eb="52">
      <t>ジョウケン</t>
    </rPh>
    <rPh sb="65" eb="66">
      <t>モト</t>
    </rPh>
    <phoneticPr fontId="1"/>
  </si>
  <si>
    <t>各技術の個別導入および段階的導入時の効果算定については、ガイドラインに掲載のケーススタディ（CASE-2～CASE-4）を参照のこと。</t>
    <rPh sb="0" eb="1">
      <t>カク</t>
    </rPh>
    <rPh sb="1" eb="3">
      <t>ギジュツ</t>
    </rPh>
    <rPh sb="4" eb="6">
      <t>コベツ</t>
    </rPh>
    <rPh sb="6" eb="8">
      <t>ドウニュウ</t>
    </rPh>
    <rPh sb="11" eb="14">
      <t>ダンカイテキ</t>
    </rPh>
    <rPh sb="14" eb="16">
      <t>ドウニュウ</t>
    </rPh>
    <rPh sb="16" eb="17">
      <t>ジ</t>
    </rPh>
    <rPh sb="18" eb="20">
      <t>コウカ</t>
    </rPh>
    <rPh sb="20" eb="22">
      <t>サンテイ</t>
    </rPh>
    <rPh sb="35" eb="37">
      <t>ケイサイ</t>
    </rPh>
    <rPh sb="61" eb="63">
      <t>サンショウ</t>
    </rPh>
    <phoneticPr fontId="1"/>
  </si>
  <si>
    <t>検討処理場における諸条件がガイドライン記載の前提条件と異なる場合は、導入効果が本試算値と大きく異なる場合があるため注意が必要である。</t>
    <rPh sb="0" eb="2">
      <t>ケントウ</t>
    </rPh>
    <rPh sb="2" eb="5">
      <t>ショリジョウ</t>
    </rPh>
    <rPh sb="9" eb="12">
      <t>ショジョウケン</t>
    </rPh>
    <rPh sb="19" eb="21">
      <t>キサイ</t>
    </rPh>
    <rPh sb="22" eb="24">
      <t>ゼンテイ</t>
    </rPh>
    <rPh sb="24" eb="26">
      <t>ジョウケン</t>
    </rPh>
    <rPh sb="27" eb="28">
      <t>コト</t>
    </rPh>
    <rPh sb="30" eb="32">
      <t>バアイ</t>
    </rPh>
    <rPh sb="34" eb="36">
      <t>ドウニュウ</t>
    </rPh>
    <rPh sb="36" eb="38">
      <t>コウカ</t>
    </rPh>
    <rPh sb="39" eb="40">
      <t>ホン</t>
    </rPh>
    <rPh sb="40" eb="43">
      <t>シサンチ</t>
    </rPh>
    <rPh sb="44" eb="45">
      <t>オオ</t>
    </rPh>
    <rPh sb="47" eb="48">
      <t>コト</t>
    </rPh>
    <rPh sb="50" eb="52">
      <t>バアイ</t>
    </rPh>
    <rPh sb="57" eb="59">
      <t>チュウイ</t>
    </rPh>
    <rPh sb="60" eb="62">
      <t>ヒツヨウ</t>
    </rPh>
    <phoneticPr fontId="1"/>
  </si>
  <si>
    <t>そのような場合は、ガイドライン資料編に記載の「Ⅱ-2.様々な条件下における導入効果の試算方法と追加費用」を参考とすること。</t>
    <rPh sb="5" eb="7">
      <t>バアイ</t>
    </rPh>
    <rPh sb="15" eb="18">
      <t>シリョウヘン</t>
    </rPh>
    <rPh sb="19" eb="21">
      <t>キサイ</t>
    </rPh>
    <rPh sb="27" eb="29">
      <t>サマザマ</t>
    </rPh>
    <rPh sb="30" eb="32">
      <t>ジョウケン</t>
    </rPh>
    <rPh sb="32" eb="33">
      <t>カ</t>
    </rPh>
    <rPh sb="37" eb="39">
      <t>ドウニュウ</t>
    </rPh>
    <rPh sb="39" eb="41">
      <t>コウカ</t>
    </rPh>
    <rPh sb="42" eb="44">
      <t>シサン</t>
    </rPh>
    <rPh sb="44" eb="46">
      <t>ホウホウ</t>
    </rPh>
    <rPh sb="47" eb="49">
      <t>ツイカ</t>
    </rPh>
    <rPh sb="49" eb="51">
      <t>ヒヨウ</t>
    </rPh>
    <rPh sb="53" eb="55">
      <t>サンコウ</t>
    </rPh>
    <phoneticPr fontId="1"/>
  </si>
  <si>
    <t>また、消化汚泥を検討対象とする場合は、ガイドラインに記載のケーススタディ（CASE-5）も参考となる。</t>
    <rPh sb="3" eb="5">
      <t>ショウカ</t>
    </rPh>
    <rPh sb="5" eb="7">
      <t>オデイ</t>
    </rPh>
    <rPh sb="8" eb="10">
      <t>ケントウ</t>
    </rPh>
    <rPh sb="10" eb="12">
      <t>タイショウ</t>
    </rPh>
    <rPh sb="15" eb="17">
      <t>バアイ</t>
    </rPh>
    <rPh sb="26" eb="28">
      <t>キサイ</t>
    </rPh>
    <rPh sb="45" eb="47">
      <t>サンコウ</t>
    </rPh>
    <phoneticPr fontId="1"/>
  </si>
  <si>
    <t>エネルギー換算係数(自動入力)</t>
    <rPh sb="5" eb="7">
      <t>カンザン</t>
    </rPh>
    <rPh sb="7" eb="9">
      <t>ケイスウ</t>
    </rPh>
    <phoneticPr fontId="1"/>
  </si>
  <si>
    <t>エネルギー換算係数</t>
    <rPh sb="5" eb="7">
      <t>カンザン</t>
    </rPh>
    <rPh sb="7" eb="9">
      <t>ケイスウ</t>
    </rPh>
    <phoneticPr fontId="1"/>
  </si>
  <si>
    <t>Ａ重油・エネルギー換算係数
(MJ/L)</t>
    <rPh sb="9" eb="11">
      <t>カンザン</t>
    </rPh>
    <rPh sb="11" eb="13">
      <t>ケイスウ</t>
    </rPh>
    <phoneticPr fontId="1"/>
  </si>
  <si>
    <t>補助燃料・エネルギー換算係数</t>
    <rPh sb="0" eb="2">
      <t>ホジョ</t>
    </rPh>
    <rPh sb="2" eb="4">
      <t>ネンリョウ</t>
    </rPh>
    <rPh sb="10" eb="12">
      <t>カンザン</t>
    </rPh>
    <rPh sb="12" eb="14">
      <t>ケイスウ</t>
    </rPh>
    <phoneticPr fontId="1"/>
  </si>
  <si>
    <t>温室効果ガス(GHG)排出量原単位(自動入力)</t>
    <rPh sb="0" eb="2">
      <t>オンシツ</t>
    </rPh>
    <rPh sb="2" eb="4">
      <t>コウカ</t>
    </rPh>
    <rPh sb="11" eb="13">
      <t>ハイシュツ</t>
    </rPh>
    <rPh sb="13" eb="14">
      <t>リョウ</t>
    </rPh>
    <rPh sb="14" eb="17">
      <t>ゲンタンイ</t>
    </rPh>
    <rPh sb="18" eb="20">
      <t>ジドウ</t>
    </rPh>
    <rPh sb="20" eb="22">
      <t>ニュウリョク</t>
    </rPh>
    <phoneticPr fontId="1"/>
  </si>
  <si>
    <t>温室効果ガス(GHG)排出量原単位</t>
    <rPh sb="0" eb="2">
      <t>オンシツ</t>
    </rPh>
    <rPh sb="2" eb="4">
      <t>コウカ</t>
    </rPh>
    <phoneticPr fontId="1"/>
  </si>
  <si>
    <r>
      <t>Y=処理汚泥量Xy(wet-t/年)
×N2O排出量原単位(kg-N2O/wet-t)×10</t>
    </r>
    <r>
      <rPr>
        <vertAlign val="superscript"/>
        <sz val="11"/>
        <color theme="1"/>
        <rFont val="游ゴシック"/>
        <family val="3"/>
        <charset val="128"/>
        <scheme val="minor"/>
      </rPr>
      <t>-3</t>
    </r>
    <rPh sb="2" eb="4">
      <t>ショリ</t>
    </rPh>
    <rPh sb="23" eb="25">
      <t>ハイシュツ</t>
    </rPh>
    <rPh sb="25" eb="26">
      <t>リョウ</t>
    </rPh>
    <rPh sb="26" eb="29">
      <t>ゲンタンイ</t>
    </rPh>
    <phoneticPr fontId="1"/>
  </si>
  <si>
    <r>
      <t>GHG排出量原単位・補助燃料
(kg-CO2/L or m</t>
    </r>
    <r>
      <rPr>
        <vertAlign val="superscript"/>
        <sz val="11"/>
        <color theme="1"/>
        <rFont val="游ゴシック"/>
        <family val="3"/>
        <charset val="128"/>
        <scheme val="minor"/>
      </rPr>
      <t>3</t>
    </r>
    <r>
      <rPr>
        <sz val="11"/>
        <color theme="1"/>
        <rFont val="游ゴシック"/>
        <family val="2"/>
        <charset val="128"/>
        <scheme val="minor"/>
      </rPr>
      <t>)</t>
    </r>
    <rPh sb="3" eb="5">
      <t>ハイシュツ</t>
    </rPh>
    <rPh sb="5" eb="6">
      <t>リョウ</t>
    </rPh>
    <rPh sb="6" eb="9">
      <t>ゲンタンイ</t>
    </rPh>
    <rPh sb="10" eb="12">
      <t>ホジョ</t>
    </rPh>
    <rPh sb="12" eb="14">
      <t>ネンリョウ</t>
    </rPh>
    <phoneticPr fontId="1"/>
  </si>
  <si>
    <r>
      <t>Y=補助燃料使用量(L/年or m</t>
    </r>
    <r>
      <rPr>
        <vertAlign val="superscript"/>
        <sz val="11"/>
        <color theme="1"/>
        <rFont val="游ゴシック"/>
        <family val="3"/>
        <charset val="128"/>
        <scheme val="minor"/>
      </rPr>
      <t>3</t>
    </r>
    <r>
      <rPr>
        <sz val="11"/>
        <color theme="1"/>
        <rFont val="游ゴシック"/>
        <family val="2"/>
        <charset val="128"/>
        <scheme val="minor"/>
      </rPr>
      <t>/年)
×GHG排出量原単位(kg-CO</t>
    </r>
    <r>
      <rPr>
        <vertAlign val="subscript"/>
        <sz val="11"/>
        <color theme="1"/>
        <rFont val="游ゴシック"/>
        <family val="3"/>
        <charset val="128"/>
        <scheme val="minor"/>
      </rPr>
      <t>2</t>
    </r>
    <r>
      <rPr>
        <sz val="11"/>
        <color theme="1"/>
        <rFont val="游ゴシック"/>
        <family val="2"/>
        <charset val="128"/>
        <scheme val="minor"/>
      </rPr>
      <t>/Lor kg-CO2/m</t>
    </r>
    <r>
      <rPr>
        <vertAlign val="superscript"/>
        <sz val="11"/>
        <color theme="1"/>
        <rFont val="游ゴシック"/>
        <family val="3"/>
        <charset val="128"/>
        <scheme val="minor"/>
      </rPr>
      <t>3</t>
    </r>
    <r>
      <rPr>
        <sz val="11"/>
        <color theme="1"/>
        <rFont val="游ゴシック"/>
        <family val="2"/>
        <charset val="128"/>
        <scheme val="minor"/>
      </rPr>
      <t>)×10</t>
    </r>
    <r>
      <rPr>
        <vertAlign val="superscript"/>
        <sz val="11"/>
        <color theme="1"/>
        <rFont val="游ゴシック"/>
        <family val="3"/>
        <charset val="128"/>
        <scheme val="minor"/>
      </rPr>
      <t>-3</t>
    </r>
    <rPh sb="2" eb="4">
      <t>ホジョ</t>
    </rPh>
    <rPh sb="4" eb="6">
      <t>ネンリョウ</t>
    </rPh>
    <rPh sb="19" eb="20">
      <t>ネン</t>
    </rPh>
    <rPh sb="26" eb="28">
      <t>ハイシュツ</t>
    </rPh>
    <rPh sb="28" eb="29">
      <t>リョウ</t>
    </rPh>
    <rPh sb="29" eb="32">
      <t>ゲンタンイ</t>
    </rPh>
    <phoneticPr fontId="1"/>
  </si>
  <si>
    <r>
      <t>Y=消費電力量(MWh/年)×GHG排出量原単位(t-CO</t>
    </r>
    <r>
      <rPr>
        <vertAlign val="subscript"/>
        <sz val="11"/>
        <color theme="1"/>
        <rFont val="游ゴシック"/>
        <family val="3"/>
        <charset val="128"/>
        <scheme val="minor"/>
      </rPr>
      <t>2</t>
    </r>
    <r>
      <rPr>
        <sz val="11"/>
        <color theme="1"/>
        <rFont val="游ゴシック"/>
        <family val="2"/>
        <charset val="128"/>
        <scheme val="minor"/>
      </rPr>
      <t>/MWh)</t>
    </r>
    <rPh sb="2" eb="4">
      <t>ショウヒ</t>
    </rPh>
    <rPh sb="4" eb="6">
      <t>デンリョク</t>
    </rPh>
    <rPh sb="6" eb="7">
      <t>リョウ</t>
    </rPh>
    <rPh sb="12" eb="13">
      <t>ネン</t>
    </rPh>
    <rPh sb="18" eb="20">
      <t>ハイシュツ</t>
    </rPh>
    <rPh sb="20" eb="21">
      <t>リョウ</t>
    </rPh>
    <rPh sb="21" eb="24">
      <t>ゲンタンイ</t>
    </rPh>
    <phoneticPr fontId="1"/>
  </si>
  <si>
    <t>GHG排出量原単位・
高分子凝集井(t-CO2/t)</t>
    <rPh sb="3" eb="5">
      <t>ハイシュツ</t>
    </rPh>
    <rPh sb="5" eb="6">
      <t>リョウ</t>
    </rPh>
    <rPh sb="6" eb="9">
      <t>ゲンタンイ</t>
    </rPh>
    <rPh sb="11" eb="14">
      <t>コウブンシ</t>
    </rPh>
    <rPh sb="14" eb="16">
      <t>ギョウシュウ</t>
    </rPh>
    <rPh sb="16" eb="17">
      <t>イ</t>
    </rPh>
    <phoneticPr fontId="1"/>
  </si>
  <si>
    <t>GHG排出量原単位
・苛性ソーダ(t-CO2/t)</t>
    <rPh sb="3" eb="5">
      <t>ハイシュツ</t>
    </rPh>
    <rPh sb="5" eb="6">
      <t>リョウ</t>
    </rPh>
    <rPh sb="6" eb="9">
      <t>ゲンタンイ</t>
    </rPh>
    <rPh sb="11" eb="13">
      <t>カセイ</t>
    </rPh>
    <phoneticPr fontId="1"/>
  </si>
  <si>
    <t>GHG排出量原単位・A重油
(kg-CO2/L)</t>
    <rPh sb="3" eb="5">
      <t>ハイシュツ</t>
    </rPh>
    <rPh sb="5" eb="6">
      <t>リョウ</t>
    </rPh>
    <rPh sb="6" eb="9">
      <t>ゲンタンイ</t>
    </rPh>
    <rPh sb="11" eb="13">
      <t>ジュウユ</t>
    </rPh>
    <phoneticPr fontId="1"/>
  </si>
  <si>
    <r>
      <t>地球温暖化係数・N2O
(t-CO</t>
    </r>
    <r>
      <rPr>
        <vertAlign val="subscript"/>
        <sz val="11"/>
        <color theme="1"/>
        <rFont val="游ゴシック"/>
        <family val="3"/>
        <charset val="128"/>
        <scheme val="minor"/>
      </rPr>
      <t>2</t>
    </r>
    <r>
      <rPr>
        <sz val="11"/>
        <color theme="1"/>
        <rFont val="游ゴシック"/>
        <family val="2"/>
        <charset val="128"/>
        <scheme val="minor"/>
      </rPr>
      <t>/t-N</t>
    </r>
    <r>
      <rPr>
        <vertAlign val="subscript"/>
        <sz val="11"/>
        <color theme="1"/>
        <rFont val="游ゴシック"/>
        <family val="3"/>
        <charset val="128"/>
        <scheme val="minor"/>
      </rPr>
      <t>2</t>
    </r>
    <r>
      <rPr>
        <sz val="11"/>
        <color theme="1"/>
        <rFont val="游ゴシック"/>
        <family val="2"/>
        <charset val="128"/>
        <scheme val="minor"/>
      </rPr>
      <t>O)</t>
    </r>
    <rPh sb="0" eb="2">
      <t>チキュウ</t>
    </rPh>
    <rPh sb="2" eb="5">
      <t>オンダンカ</t>
    </rPh>
    <rPh sb="5" eb="7">
      <t>ケイスウ</t>
    </rPh>
    <phoneticPr fontId="1"/>
  </si>
  <si>
    <r>
      <t>N</t>
    </r>
    <r>
      <rPr>
        <vertAlign val="subscript"/>
        <sz val="11"/>
        <rFont val="游ゴシック"/>
        <family val="3"/>
        <charset val="128"/>
        <scheme val="minor"/>
      </rPr>
      <t>2</t>
    </r>
    <r>
      <rPr>
        <sz val="11"/>
        <rFont val="游ゴシック"/>
        <family val="2"/>
        <charset val="128"/>
        <scheme val="minor"/>
      </rPr>
      <t>O排出量原単位(kg-N</t>
    </r>
    <r>
      <rPr>
        <vertAlign val="subscript"/>
        <sz val="11"/>
        <rFont val="游ゴシック"/>
        <family val="3"/>
        <charset val="128"/>
        <scheme val="minor"/>
      </rPr>
      <t>2</t>
    </r>
    <r>
      <rPr>
        <sz val="11"/>
        <rFont val="游ゴシック"/>
        <family val="2"/>
        <charset val="128"/>
        <scheme val="minor"/>
      </rPr>
      <t xml:space="preserve">O/wet-t)
</t>
    </r>
    <r>
      <rPr>
        <sz val="11"/>
        <rFont val="游ゴシック"/>
        <family val="3"/>
        <charset val="128"/>
        <scheme val="minor"/>
      </rPr>
      <t>※革新的技術実証値</t>
    </r>
    <rPh sb="3" eb="5">
      <t>ハイシュツ</t>
    </rPh>
    <rPh sb="5" eb="6">
      <t>リョウ</t>
    </rPh>
    <rPh sb="6" eb="9">
      <t>ゲンタンイ</t>
    </rPh>
    <rPh sb="25" eb="28">
      <t>カクシンテキ</t>
    </rPh>
    <rPh sb="28" eb="30">
      <t>ギジュツ</t>
    </rPh>
    <rPh sb="30" eb="32">
      <t>ジッショウ</t>
    </rPh>
    <rPh sb="32" eb="33">
      <t>チ</t>
    </rPh>
    <phoneticPr fontId="1"/>
  </si>
  <si>
    <r>
      <t>N</t>
    </r>
    <r>
      <rPr>
        <vertAlign val="subscript"/>
        <sz val="11"/>
        <rFont val="游ゴシック"/>
        <family val="3"/>
        <charset val="128"/>
        <scheme val="minor"/>
      </rPr>
      <t>2</t>
    </r>
    <r>
      <rPr>
        <sz val="11"/>
        <rFont val="游ゴシック"/>
        <family val="2"/>
        <charset val="128"/>
        <scheme val="minor"/>
      </rPr>
      <t>O排出量原単位(kg-N</t>
    </r>
    <r>
      <rPr>
        <vertAlign val="subscript"/>
        <sz val="11"/>
        <rFont val="游ゴシック"/>
        <family val="3"/>
        <charset val="128"/>
        <scheme val="minor"/>
      </rPr>
      <t>2</t>
    </r>
    <r>
      <rPr>
        <sz val="11"/>
        <rFont val="游ゴシック"/>
        <family val="2"/>
        <charset val="128"/>
        <scheme val="minor"/>
      </rPr>
      <t xml:space="preserve">O/wet-t)
</t>
    </r>
    <r>
      <rPr>
        <sz val="11"/>
        <rFont val="游ゴシック"/>
        <family val="3"/>
        <charset val="128"/>
        <scheme val="minor"/>
      </rPr>
      <t>※高温焼却時</t>
    </r>
    <rPh sb="3" eb="5">
      <t>ハイシュツ</t>
    </rPh>
    <rPh sb="5" eb="6">
      <t>リョウ</t>
    </rPh>
    <rPh sb="6" eb="9">
      <t>ゲンタンイ</t>
    </rPh>
    <rPh sb="25" eb="27">
      <t>コウオン</t>
    </rPh>
    <rPh sb="27" eb="29">
      <t>ショウキャク</t>
    </rPh>
    <rPh sb="29" eb="30">
      <t>ジ</t>
    </rPh>
    <phoneticPr fontId="1"/>
  </si>
  <si>
    <t>GHG排出量原単位・
ポリ硫酸第二鉄(t-CO2/t)</t>
    <rPh sb="3" eb="5">
      <t>ハイシュツ</t>
    </rPh>
    <rPh sb="5" eb="6">
      <t>リョウ</t>
    </rPh>
    <rPh sb="6" eb="9">
      <t>ゲンタンイ</t>
    </rPh>
    <rPh sb="13" eb="15">
      <t>リュウサン</t>
    </rPh>
    <rPh sb="15" eb="17">
      <t>ダイニ</t>
    </rPh>
    <rPh sb="17" eb="18">
      <t>テツ</t>
    </rPh>
    <phoneticPr fontId="1"/>
  </si>
  <si>
    <t>Y=高分子凝集剤使用量(t/年)×GHG排出量原単位(t-CO2/t)
＋苛性ソーダ使用量(t/年)×GHG排出量原単位(t-CO2/t)</t>
    <rPh sb="2" eb="3">
      <t>コウ</t>
    </rPh>
    <rPh sb="3" eb="5">
      <t>ブンシ</t>
    </rPh>
    <rPh sb="5" eb="7">
      <t>ギョウシュウ</t>
    </rPh>
    <rPh sb="7" eb="8">
      <t>ザイ</t>
    </rPh>
    <rPh sb="8" eb="10">
      <t>シヨウ</t>
    </rPh>
    <rPh sb="10" eb="11">
      <t>リョウ</t>
    </rPh>
    <rPh sb="14" eb="15">
      <t>ネン</t>
    </rPh>
    <rPh sb="20" eb="22">
      <t>ハイシュツ</t>
    </rPh>
    <rPh sb="22" eb="23">
      <t>リョウ</t>
    </rPh>
    <rPh sb="23" eb="26">
      <t>ゲンタンイ</t>
    </rPh>
    <rPh sb="37" eb="39">
      <t>カセイ</t>
    </rPh>
    <rPh sb="42" eb="44">
      <t>シヨウ</t>
    </rPh>
    <rPh sb="44" eb="45">
      <t>リョウ</t>
    </rPh>
    <rPh sb="54" eb="56">
      <t>ハイシュツ</t>
    </rPh>
    <rPh sb="56" eb="57">
      <t>リョウ</t>
    </rPh>
    <rPh sb="57" eb="60">
      <t>ゲンタンイ</t>
    </rPh>
    <phoneticPr fontId="1"/>
  </si>
  <si>
    <r>
      <t>Y=補助燃料使用量(kL/年)×GHG排出量原単位(t-CO</t>
    </r>
    <r>
      <rPr>
        <vertAlign val="subscript"/>
        <sz val="11"/>
        <color theme="1"/>
        <rFont val="游ゴシック"/>
        <family val="3"/>
        <charset val="128"/>
        <scheme val="minor"/>
      </rPr>
      <t>2</t>
    </r>
    <r>
      <rPr>
        <sz val="11"/>
        <color theme="1"/>
        <rFont val="游ゴシック"/>
        <family val="2"/>
        <charset val="128"/>
        <scheme val="minor"/>
      </rPr>
      <t>/kL)</t>
    </r>
    <rPh sb="2" eb="4">
      <t>ホジョ</t>
    </rPh>
    <rPh sb="4" eb="6">
      <t>ネンリョウ</t>
    </rPh>
    <phoneticPr fontId="1"/>
  </si>
  <si>
    <t>Y=高分子凝集剤使用量(t/年)×GHG排出量原単位(t-CO2/t)
＋ポリ硫酸第二鉄使用量(t/年)×GHG排出量原単位(t-CO2/t)
＋苛性ソーダ使用量(t/年)×GHG排出量原単位(t-CO2/t)</t>
    <phoneticPr fontId="1"/>
  </si>
  <si>
    <t>Y=発電電力量(MWh/年)×GHG排出量原単位(t-CO2/MWh)</t>
    <rPh sb="2" eb="4">
      <t>ハツデン</t>
    </rPh>
    <rPh sb="18" eb="20">
      <t>ハイシュツ</t>
    </rPh>
    <rPh sb="20" eb="21">
      <t>リョウ</t>
    </rPh>
    <rPh sb="21" eb="24">
      <t>ゲンタンイ</t>
    </rPh>
    <phoneticPr fontId="1"/>
  </si>
  <si>
    <t>GHG排出量原単位・電力
(t-CO2/MWh)</t>
    <rPh sb="3" eb="5">
      <t>ハイシュツ</t>
    </rPh>
    <rPh sb="5" eb="6">
      <t>リョウ</t>
    </rPh>
    <rPh sb="6" eb="9">
      <t>ゲンタンイ</t>
    </rPh>
    <rPh sb="10" eb="12">
      <t>デンリョク</t>
    </rPh>
    <phoneticPr fontId="1"/>
  </si>
  <si>
    <t>A重油</t>
  </si>
  <si>
    <t>(自動計算)</t>
    <rPh sb="1" eb="3">
      <t>ジドウ</t>
    </rPh>
    <rPh sb="3" eb="5">
      <t>ケイサン</t>
    </rPh>
    <phoneticPr fontId="1"/>
  </si>
  <si>
    <r>
      <t>Y=0.227Qd</t>
    </r>
    <r>
      <rPr>
        <vertAlign val="superscript"/>
        <sz val="11"/>
        <rFont val="游ゴシック"/>
        <family val="3"/>
        <charset val="128"/>
        <scheme val="minor"/>
      </rPr>
      <t>0.444</t>
    </r>
    <r>
      <rPr>
        <sz val="11"/>
        <rFont val="游ゴシック"/>
        <family val="3"/>
        <charset val="128"/>
        <scheme val="minor"/>
      </rPr>
      <t>×100×デフレータ</t>
    </r>
    <phoneticPr fontId="1"/>
  </si>
  <si>
    <r>
      <t>Y=0.434Qd</t>
    </r>
    <r>
      <rPr>
        <vertAlign val="superscript"/>
        <sz val="11"/>
        <rFont val="游ゴシック"/>
        <family val="3"/>
        <charset val="128"/>
        <scheme val="minor"/>
      </rPr>
      <t>0.373</t>
    </r>
    <r>
      <rPr>
        <sz val="11"/>
        <rFont val="游ゴシック"/>
        <family val="3"/>
        <charset val="128"/>
        <scheme val="minor"/>
      </rPr>
      <t>×100×デフレータ</t>
    </r>
    <phoneticPr fontId="1"/>
  </si>
  <si>
    <r>
      <t>Y=0.039Qy</t>
    </r>
    <r>
      <rPr>
        <vertAlign val="superscript"/>
        <sz val="11"/>
        <rFont val="游ゴシック"/>
        <family val="3"/>
        <charset val="128"/>
        <scheme val="minor"/>
      </rPr>
      <t>0.596</t>
    </r>
    <r>
      <rPr>
        <sz val="11"/>
        <rFont val="游ゴシック"/>
        <family val="3"/>
        <charset val="128"/>
        <scheme val="minor"/>
      </rPr>
      <t>×100</t>
    </r>
    <phoneticPr fontId="1"/>
  </si>
  <si>
    <r>
      <t>Y=2.426Xd</t>
    </r>
    <r>
      <rPr>
        <vertAlign val="superscript"/>
        <sz val="11"/>
        <rFont val="游ゴシック"/>
        <family val="3"/>
        <charset val="128"/>
        <scheme val="minor"/>
      </rPr>
      <t>0.0094</t>
    </r>
    <r>
      <rPr>
        <sz val="11"/>
        <rFont val="游ゴシック"/>
        <family val="3"/>
        <charset val="128"/>
        <scheme val="minor"/>
      </rPr>
      <t>×100×デフレータ</t>
    </r>
    <phoneticPr fontId="1"/>
  </si>
  <si>
    <r>
      <t>Y=1.888Xd</t>
    </r>
    <r>
      <rPr>
        <vertAlign val="superscript"/>
        <sz val="11"/>
        <rFont val="游ゴシック"/>
        <family val="3"/>
        <charset val="128"/>
        <scheme val="minor"/>
      </rPr>
      <t>0.597</t>
    </r>
    <r>
      <rPr>
        <sz val="11"/>
        <rFont val="游ゴシック"/>
        <family val="3"/>
        <charset val="128"/>
        <scheme val="minor"/>
      </rPr>
      <t>×100×デフレータ</t>
    </r>
    <phoneticPr fontId="1"/>
  </si>
  <si>
    <r>
      <t>Y=0.726Xd</t>
    </r>
    <r>
      <rPr>
        <vertAlign val="superscript"/>
        <sz val="11"/>
        <rFont val="游ゴシック"/>
        <family val="3"/>
        <charset val="128"/>
        <scheme val="minor"/>
      </rPr>
      <t>0.539</t>
    </r>
    <r>
      <rPr>
        <sz val="11"/>
        <rFont val="游ゴシック"/>
        <family val="3"/>
        <charset val="128"/>
        <scheme val="minor"/>
      </rPr>
      <t>×100×デフレータ</t>
    </r>
    <phoneticPr fontId="1"/>
  </si>
  <si>
    <t>GHG排出量原単位
・48%苛性ソーダ(t-CO2/t)</t>
    <rPh sb="3" eb="5">
      <t>ハイシュツ</t>
    </rPh>
    <rPh sb="5" eb="6">
      <t>リョウ</t>
    </rPh>
    <rPh sb="6" eb="9">
      <t>ゲンタンイ</t>
    </rPh>
    <rPh sb="14" eb="16">
      <t>カセイ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</si>
</sst>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_ "/>
    <numFmt numFmtId="179" formatCode="0.0_ "/>
    <numFmt numFmtId="180" formatCode="0_ "/>
  </numFmts>
  <fonts count="24" x14ac:knownFonts="1">
    <font>
      <sz val="11"/>
      <color theme="1"/>
      <name val="游ゴシック"/>
      <family val="2"/>
      <charset val="128"/>
      <scheme val="minor"/>
    </font>
    <font>
      <sz val="6"/>
      <name val="游ゴシック"/>
      <family val="2"/>
      <charset val="128"/>
      <scheme val="minor"/>
    </font>
    <font>
      <vertAlign val="superscript"/>
      <sz val="11"/>
      <color theme="1"/>
      <name val="游ゴシック"/>
      <family val="3"/>
      <charset val="128"/>
      <scheme val="minor"/>
    </font>
    <font>
      <sz val="11"/>
      <color theme="1"/>
      <name val="游ゴシック"/>
      <family val="3"/>
      <charset val="128"/>
      <scheme val="minor"/>
    </font>
    <font>
      <vertAlign val="subscript"/>
      <sz val="11"/>
      <color theme="1"/>
      <name val="游ゴシック"/>
      <family val="3"/>
      <charset val="128"/>
      <scheme val="minor"/>
    </font>
    <font>
      <sz val="20"/>
      <color theme="1"/>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vertAlign val="superscript"/>
      <sz val="11"/>
      <name val="游ゴシック"/>
      <family val="3"/>
      <charset val="128"/>
      <scheme val="minor"/>
    </font>
    <font>
      <sz val="11"/>
      <name val="ＭＳ ゴシック"/>
      <family val="3"/>
      <charset val="128"/>
    </font>
    <font>
      <sz val="18"/>
      <color theme="1"/>
      <name val="游ゴシック"/>
      <family val="2"/>
      <charset val="128"/>
      <scheme val="minor"/>
    </font>
    <font>
      <sz val="18"/>
      <color theme="1"/>
      <name val="游ゴシック"/>
      <family val="3"/>
      <charset val="128"/>
      <scheme val="minor"/>
    </font>
    <font>
      <vertAlign val="subscript"/>
      <sz val="11"/>
      <name val="游ゴシック"/>
      <family val="3"/>
      <charset val="128"/>
      <scheme val="minor"/>
    </font>
    <font>
      <sz val="18"/>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20"/>
      <color rgb="FFFF0000"/>
      <name val="游ゴシック"/>
      <family val="3"/>
      <charset val="128"/>
      <scheme val="minor"/>
    </font>
    <font>
      <sz val="11"/>
      <color theme="1"/>
      <name val="游ゴシック"/>
      <family val="3"/>
      <charset val="128"/>
    </font>
    <font>
      <sz val="11"/>
      <name val="游ゴシック"/>
      <family val="3"/>
      <charset val="128"/>
    </font>
    <font>
      <sz val="11"/>
      <name val="ＭＳ Ｐゴシック"/>
      <family val="3"/>
      <charset val="128"/>
    </font>
    <font>
      <sz val="11"/>
      <color rgb="FF3333FF"/>
      <name val="游ゴシック"/>
      <family val="2"/>
      <charset val="128"/>
      <scheme val="minor"/>
    </font>
    <font>
      <b/>
      <sz val="11"/>
      <color rgb="FFFF0000"/>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D4F9FE"/>
        <bgColor indexed="64"/>
      </patternFill>
    </fill>
    <fill>
      <patternFill patternType="solid">
        <fgColor theme="0"/>
        <bgColor indexed="64"/>
      </patternFill>
    </fill>
    <fill>
      <patternFill patternType="solid">
        <fgColor rgb="FF99FF33"/>
        <bgColor indexed="64"/>
      </patternFill>
    </fill>
    <fill>
      <patternFill patternType="solid">
        <fgColor theme="4" tint="0.39997558519241921"/>
        <bgColor indexed="64"/>
      </patternFill>
    </fill>
    <fill>
      <patternFill patternType="solid">
        <fgColor theme="2"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20" fillId="0" borderId="0"/>
    <xf numFmtId="9" fontId="15" fillId="0" borderId="0" applyFont="0" applyFill="0" applyBorder="0" applyAlignment="0" applyProtection="0">
      <alignment vertical="center"/>
    </xf>
  </cellStyleXfs>
  <cellXfs count="235">
    <xf numFmtId="0" fontId="0" fillId="0" borderId="0" xfId="0">
      <alignment vertical="center"/>
    </xf>
    <xf numFmtId="0" fontId="0" fillId="0" borderId="0" xfId="0" applyAlignment="1">
      <alignment horizontal="left" vertical="center"/>
    </xf>
    <xf numFmtId="179" fontId="0" fillId="0" borderId="0" xfId="0" applyNumberFormat="1" applyAlignment="1">
      <alignment horizontal="center" vertical="center"/>
    </xf>
    <xf numFmtId="177" fontId="0" fillId="0" borderId="0"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5" fillId="0" borderId="0" xfId="0" applyFont="1" applyAlignment="1">
      <alignment horizontal="left" vertical="center"/>
    </xf>
    <xf numFmtId="0" fontId="5" fillId="0" borderId="0" xfId="0" applyFont="1" applyFill="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vertical="center"/>
    </xf>
    <xf numFmtId="0" fontId="8" fillId="0" borderId="4"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right"/>
    </xf>
    <xf numFmtId="0" fontId="7" fillId="0" borderId="1"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3" xfId="0" applyFont="1" applyFill="1" applyBorder="1" applyAlignment="1">
      <alignment horizontal="center" vertical="center"/>
    </xf>
    <xf numFmtId="0" fontId="8" fillId="0" borderId="0" xfId="0" applyFont="1" applyAlignment="1">
      <alignment horizontal="left" vertical="center"/>
    </xf>
    <xf numFmtId="0" fontId="5" fillId="0" borderId="0" xfId="0" applyFont="1" applyBorder="1" applyAlignment="1">
      <alignment horizontal="left" vertical="center"/>
    </xf>
    <xf numFmtId="176" fontId="0" fillId="0" borderId="0" xfId="0" applyNumberFormat="1" applyBorder="1" applyAlignment="1">
      <alignment horizontal="center" vertical="center"/>
    </xf>
    <xf numFmtId="179" fontId="0" fillId="0" borderId="0" xfId="0" applyNumberFormat="1" applyBorder="1" applyAlignment="1">
      <alignment horizontal="center" vertical="center"/>
    </xf>
    <xf numFmtId="0" fontId="8" fillId="0" borderId="6" xfId="0" applyFont="1" applyFill="1" applyBorder="1" applyAlignment="1">
      <alignment horizontal="left" vertical="center"/>
    </xf>
    <xf numFmtId="0" fontId="0" fillId="0" borderId="0" xfId="0" applyFill="1" applyAlignment="1">
      <alignment horizontal="center" vertical="center"/>
    </xf>
    <xf numFmtId="0" fontId="0" fillId="3" borderId="1" xfId="0" applyFill="1" applyBorder="1" applyAlignment="1">
      <alignment horizontal="center" vertical="center"/>
    </xf>
    <xf numFmtId="0" fontId="8" fillId="3" borderId="1" xfId="0" applyFont="1" applyFill="1" applyBorder="1" applyAlignment="1">
      <alignment horizontal="center" vertical="center"/>
    </xf>
    <xf numFmtId="0" fontId="8" fillId="0" borderId="0" xfId="0" applyFont="1" applyBorder="1" applyAlignment="1">
      <alignment vertical="center"/>
    </xf>
    <xf numFmtId="0" fontId="10" fillId="0" borderId="3" xfId="0" applyFont="1" applyBorder="1" applyAlignment="1">
      <alignment horizontal="center" vertical="center"/>
    </xf>
    <xf numFmtId="0" fontId="8" fillId="0" borderId="1"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wrapText="1"/>
    </xf>
    <xf numFmtId="0" fontId="0" fillId="0" borderId="12" xfId="0" applyBorder="1" applyAlignment="1">
      <alignment vertical="center"/>
    </xf>
    <xf numFmtId="0" fontId="0" fillId="0" borderId="6" xfId="0" applyBorder="1" applyAlignment="1">
      <alignment horizontal="center" vertical="center" wrapText="1"/>
    </xf>
    <xf numFmtId="0" fontId="16" fillId="0" borderId="0" xfId="0" applyFont="1" applyAlignment="1">
      <alignment horizontal="left" vertical="center"/>
    </xf>
    <xf numFmtId="38" fontId="8" fillId="3" borderId="1" xfId="1" applyFont="1" applyFill="1" applyBorder="1" applyAlignment="1">
      <alignment horizontal="center" vertical="center"/>
    </xf>
    <xf numFmtId="0" fontId="6" fillId="0" borderId="0" xfId="0" applyFont="1" applyBorder="1" applyAlignment="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0" fillId="3" borderId="2" xfId="0" applyFill="1" applyBorder="1" applyAlignment="1">
      <alignment horizontal="center" vertical="center"/>
    </xf>
    <xf numFmtId="0" fontId="0" fillId="0" borderId="14" xfId="0" applyBorder="1" applyAlignment="1">
      <alignment vertical="center"/>
    </xf>
    <xf numFmtId="0" fontId="18" fillId="0" borderId="0" xfId="0" applyFont="1" applyAlignment="1">
      <alignment horizontal="center" vertical="center"/>
    </xf>
    <xf numFmtId="0" fontId="18" fillId="0" borderId="1" xfId="0" applyFont="1" applyBorder="1" applyAlignment="1">
      <alignment horizontal="left" vertical="center"/>
    </xf>
    <xf numFmtId="0" fontId="19" fillId="0" borderId="1" xfId="0" applyFont="1" applyBorder="1" applyAlignment="1">
      <alignment vertical="center"/>
    </xf>
    <xf numFmtId="0" fontId="8" fillId="0" borderId="12" xfId="0" applyFont="1" applyBorder="1" applyAlignment="1">
      <alignment horizontal="left" vertical="center"/>
    </xf>
    <xf numFmtId="0" fontId="8" fillId="0" borderId="8" xfId="0" applyFont="1" applyBorder="1" applyAlignment="1">
      <alignment horizontal="center" vertical="center"/>
    </xf>
    <xf numFmtId="0" fontId="7"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20" fillId="0" borderId="1" xfId="2" applyBorder="1" applyAlignment="1">
      <alignment horizontal="center" vertical="center"/>
    </xf>
    <xf numFmtId="0" fontId="8" fillId="0" borderId="3" xfId="0" applyFont="1" applyBorder="1" applyAlignment="1">
      <alignment horizontal="center" vertical="center"/>
    </xf>
    <xf numFmtId="0" fontId="20" fillId="0" borderId="0" xfId="2" applyBorder="1" applyAlignment="1">
      <alignment horizontal="center" vertical="center"/>
    </xf>
    <xf numFmtId="0" fontId="18" fillId="0" borderId="4" xfId="0" applyFont="1" applyBorder="1" applyAlignment="1">
      <alignment horizontal="left" vertical="center"/>
    </xf>
    <xf numFmtId="0" fontId="8" fillId="0" borderId="11" xfId="0" applyFont="1" applyBorder="1" applyAlignment="1">
      <alignment horizontal="center" vertical="center"/>
    </xf>
    <xf numFmtId="0" fontId="7" fillId="0" borderId="1" xfId="0" applyFont="1" applyBorder="1" applyAlignment="1">
      <alignment horizontal="center" vertical="center" wrapText="1"/>
    </xf>
    <xf numFmtId="0" fontId="20" fillId="0" borderId="1" xfId="2" applyFont="1" applyBorder="1" applyAlignment="1">
      <alignment horizontal="center" vertical="center"/>
    </xf>
    <xf numFmtId="0" fontId="0" fillId="0" borderId="1" xfId="0" applyFill="1" applyBorder="1" applyAlignment="1">
      <alignment horizontal="left" vertical="center"/>
    </xf>
    <xf numFmtId="0" fontId="18" fillId="0" borderId="1" xfId="0" applyFont="1" applyFill="1" applyBorder="1" applyAlignment="1">
      <alignment vertical="center"/>
    </xf>
    <xf numFmtId="0" fontId="8" fillId="0" borderId="1" xfId="0" applyFont="1" applyBorder="1" applyAlignment="1">
      <alignment vertical="center" wrapText="1"/>
    </xf>
    <xf numFmtId="0" fontId="0" fillId="0" borderId="0" xfId="0" applyBorder="1" applyAlignment="1">
      <alignment vertical="center"/>
    </xf>
    <xf numFmtId="0" fontId="8" fillId="0" borderId="5" xfId="0" applyFont="1" applyBorder="1" applyAlignment="1">
      <alignment vertical="center"/>
    </xf>
    <xf numFmtId="0" fontId="8" fillId="0" borderId="4" xfId="0" applyFont="1" applyFill="1" applyBorder="1" applyAlignment="1">
      <alignment horizontal="center" vertical="center"/>
    </xf>
    <xf numFmtId="0" fontId="3" fillId="0" borderId="0" xfId="0" applyFont="1" applyBorder="1" applyAlignment="1">
      <alignment horizontal="center" vertical="center"/>
    </xf>
    <xf numFmtId="38" fontId="0" fillId="3" borderId="1" xfId="1" applyFont="1" applyFill="1" applyBorder="1" applyAlignment="1">
      <alignment horizontal="center" vertical="center"/>
    </xf>
    <xf numFmtId="0" fontId="21" fillId="0" borderId="1"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0" fillId="0" borderId="11" xfId="0" applyBorder="1" applyAlignment="1">
      <alignment horizontal="center" vertical="center"/>
    </xf>
    <xf numFmtId="0" fontId="0" fillId="0" borderId="9" xfId="0" applyBorder="1" applyAlignment="1">
      <alignment horizontal="center" vertical="center"/>
    </xf>
    <xf numFmtId="0" fontId="8" fillId="0" borderId="15" xfId="0" applyFont="1" applyBorder="1" applyAlignment="1">
      <alignment horizontal="center" vertical="center"/>
    </xf>
    <xf numFmtId="0" fontId="22" fillId="0" borderId="14" xfId="0" applyFont="1" applyBorder="1" applyAlignment="1">
      <alignment horizontal="left" vertical="center"/>
    </xf>
    <xf numFmtId="0" fontId="7" fillId="0" borderId="0" xfId="0" applyFont="1" applyAlignment="1">
      <alignment horizontal="center" vertical="center"/>
    </xf>
    <xf numFmtId="0" fontId="8" fillId="3" borderId="2" xfId="0" applyFont="1" applyFill="1" applyBorder="1" applyAlignment="1">
      <alignment horizontal="center" vertical="center"/>
    </xf>
    <xf numFmtId="180" fontId="8" fillId="0" borderId="0" xfId="0" applyNumberFormat="1" applyFont="1" applyFill="1" applyAlignment="1">
      <alignment horizontal="center" vertical="center"/>
    </xf>
    <xf numFmtId="180" fontId="8" fillId="0" borderId="5" xfId="0" applyNumberFormat="1" applyFont="1" applyFill="1" applyBorder="1" applyAlignment="1">
      <alignment horizontal="center" vertical="center"/>
    </xf>
    <xf numFmtId="0" fontId="0" fillId="0" borderId="0" xfId="0" applyBorder="1" applyAlignment="1">
      <alignment horizontal="center" vertical="center" wrapText="1"/>
    </xf>
    <xf numFmtId="0" fontId="8" fillId="0" borderId="2" xfId="0" applyFont="1" applyBorder="1" applyAlignment="1">
      <alignment horizontal="center" vertical="center" wrapText="1"/>
    </xf>
    <xf numFmtId="0" fontId="18" fillId="0" borderId="2" xfId="0" applyFont="1" applyBorder="1" applyAlignment="1">
      <alignment horizontal="left" vertical="center" wrapText="1"/>
    </xf>
    <xf numFmtId="0" fontId="0" fillId="0" borderId="0" xfId="0" applyAlignment="1">
      <alignment horizontal="center" vertical="center"/>
    </xf>
    <xf numFmtId="0" fontId="0" fillId="4" borderId="4"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78" fontId="0" fillId="6" borderId="1" xfId="0" applyNumberFormat="1" applyFill="1" applyBorder="1" applyAlignment="1">
      <alignment horizontal="center" vertical="center"/>
    </xf>
    <xf numFmtId="38" fontId="0" fillId="6" borderId="1" xfId="1" applyFont="1" applyFill="1" applyBorder="1" applyAlignment="1">
      <alignment horizontal="center" vertical="center"/>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38" fontId="8" fillId="0" borderId="5"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15"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3" xfId="1" applyFont="1" applyFill="1" applyBorder="1" applyAlignment="1">
      <alignment horizontal="center" vertical="center"/>
    </xf>
    <xf numFmtId="38" fontId="8" fillId="0" borderId="3" xfId="1" applyFont="1" applyFill="1" applyBorder="1" applyAlignment="1">
      <alignment horizontal="center" vertical="center"/>
    </xf>
    <xf numFmtId="0" fontId="0" fillId="0" borderId="1" xfId="0" applyBorder="1" applyAlignment="1">
      <alignment horizontal="center" vertical="center" wrapText="1"/>
    </xf>
    <xf numFmtId="0" fontId="20" fillId="0" borderId="1" xfId="2"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0" fillId="0" borderId="2" xfId="2" applyBorder="1" applyAlignment="1">
      <alignment horizontal="center" vertical="center"/>
    </xf>
    <xf numFmtId="0" fontId="20" fillId="0" borderId="4" xfId="2" applyBorder="1" applyAlignment="1">
      <alignment horizontal="center" vertical="center"/>
    </xf>
    <xf numFmtId="0" fontId="11" fillId="2" borderId="5" xfId="0" applyFont="1" applyFill="1" applyBorder="1" applyAlignment="1">
      <alignment horizontal="center" vertical="center"/>
    </xf>
    <xf numFmtId="0" fontId="12" fillId="2" borderId="13"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14" xfId="0" applyFont="1" applyBorder="1" applyAlignment="1">
      <alignment horizontal="left" vertical="center"/>
    </xf>
    <xf numFmtId="0" fontId="8" fillId="0" borderId="7" xfId="0" applyFont="1" applyBorder="1" applyAlignment="1">
      <alignment horizontal="left" vertical="center"/>
    </xf>
    <xf numFmtId="0" fontId="7" fillId="0" borderId="12"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2" borderId="5" xfId="0" applyFont="1" applyFill="1" applyBorder="1" applyAlignment="1">
      <alignment horizontal="center" vertical="center"/>
    </xf>
    <xf numFmtId="0" fontId="14" fillId="2" borderId="13" xfId="0" applyFont="1" applyFill="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8" fillId="0" borderId="14"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0" fontId="12" fillId="2"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Font="1"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center" vertical="center"/>
    </xf>
    <xf numFmtId="0" fontId="0" fillId="0" borderId="2" xfId="0" applyBorder="1" applyAlignment="1">
      <alignment horizontal="left" vertical="top"/>
    </xf>
    <xf numFmtId="0" fontId="0" fillId="0" borderId="4" xfId="0" applyBorder="1" applyAlignment="1">
      <alignment horizontal="left" vertical="top"/>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 xfId="0" applyBorder="1" applyAlignment="1">
      <alignment horizontal="left" vertical="center"/>
    </xf>
    <xf numFmtId="0" fontId="7" fillId="0" borderId="5" xfId="0" applyFont="1" applyBorder="1" applyAlignment="1">
      <alignment horizontal="center" vertical="center"/>
    </xf>
    <xf numFmtId="38" fontId="0" fillId="0" borderId="2" xfId="1" applyFont="1" applyFill="1" applyBorder="1" applyAlignment="1">
      <alignment horizontal="center" vertical="center"/>
    </xf>
    <xf numFmtId="38" fontId="0" fillId="0" borderId="4" xfId="1" applyFont="1" applyFill="1"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7" fillId="0" borderId="6" xfId="0" applyFont="1" applyBorder="1" applyAlignment="1">
      <alignment horizontal="center" vertical="center"/>
    </xf>
    <xf numFmtId="0" fontId="0" fillId="0" borderId="1" xfId="0" applyFill="1" applyBorder="1" applyAlignment="1">
      <alignment horizontal="center" vertical="center"/>
    </xf>
    <xf numFmtId="38" fontId="7" fillId="0" borderId="2" xfId="1" applyFont="1" applyFill="1" applyBorder="1" applyAlignment="1">
      <alignment horizontal="center" vertical="center"/>
    </xf>
    <xf numFmtId="38" fontId="7" fillId="0" borderId="4" xfId="1" applyFont="1" applyFill="1" applyBorder="1" applyAlignment="1">
      <alignment horizontal="center" vertical="center"/>
    </xf>
    <xf numFmtId="0" fontId="0" fillId="0" borderId="2" xfId="0" applyBorder="1" applyAlignment="1">
      <alignment horizontal="left" vertical="center" wrapText="1"/>
    </xf>
    <xf numFmtId="177" fontId="23" fillId="0" borderId="1" xfId="3" applyNumberFormat="1" applyFont="1" applyFill="1" applyBorder="1" applyAlignment="1">
      <alignment horizontal="center" vertical="center"/>
    </xf>
    <xf numFmtId="177" fontId="23" fillId="0" borderId="5" xfId="3" applyNumberFormat="1" applyFont="1" applyFill="1" applyBorder="1" applyAlignment="1">
      <alignment horizontal="center" vertical="center"/>
    </xf>
    <xf numFmtId="177" fontId="23" fillId="0" borderId="5" xfId="3" applyNumberFormat="1" applyFont="1" applyBorder="1" applyAlignment="1">
      <alignment horizontal="center" vertical="center"/>
    </xf>
  </cellXfs>
  <cellStyles count="4">
    <cellStyle name="パーセント" xfId="3" builtinId="5"/>
    <cellStyle name="桁区切り" xfId="1" builtinId="6"/>
    <cellStyle name="標準" xfId="0" builtinId="0"/>
    <cellStyle name="標準 2" xfId="2"/>
  </cellStyles>
  <dxfs count="0"/>
  <tableStyles count="0" defaultTableStyle="TableStyleMedium2" defaultPivotStyle="PivotStyleLight16"/>
  <colors>
    <mruColors>
      <color rgb="FF99FF33"/>
      <color rgb="FFCCFF99"/>
      <color rgb="FF99FF99"/>
      <color rgb="FFD4F9FE"/>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2057400</xdr:colOff>
      <xdr:row>25</xdr:row>
      <xdr:rowOff>152400</xdr:rowOff>
    </xdr:from>
    <xdr:ext cx="184731" cy="264560"/>
    <xdr:sp macro="" textlink="">
      <xdr:nvSpPr>
        <xdr:cNvPr id="2" name="テキスト ボックス 1"/>
        <xdr:cNvSpPr txBox="1"/>
      </xdr:nvSpPr>
      <xdr:spPr>
        <a:xfrm>
          <a:off x="8448675" y="376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1570686</xdr:colOff>
      <xdr:row>0</xdr:row>
      <xdr:rowOff>120463</xdr:rowOff>
    </xdr:from>
    <xdr:to>
      <xdr:col>3</xdr:col>
      <xdr:colOff>1334619</xdr:colOff>
      <xdr:row>0</xdr:row>
      <xdr:rowOff>392206</xdr:rowOff>
    </xdr:to>
    <xdr:grpSp>
      <xdr:nvGrpSpPr>
        <xdr:cNvPr id="3" name="グループ化 2"/>
        <xdr:cNvGrpSpPr/>
      </xdr:nvGrpSpPr>
      <xdr:grpSpPr>
        <a:xfrm>
          <a:off x="2529331" y="120463"/>
          <a:ext cx="1337094" cy="271743"/>
          <a:chOff x="2763371" y="120093"/>
          <a:chExt cx="1346855" cy="276225"/>
        </a:xfrm>
      </xdr:grpSpPr>
      <xdr:sp macro="" textlink="">
        <xdr:nvSpPr>
          <xdr:cNvPr id="4" name="正方形/長方形 3"/>
          <xdr:cNvSpPr/>
        </xdr:nvSpPr>
        <xdr:spPr>
          <a:xfrm>
            <a:off x="2763371" y="184336"/>
            <a:ext cx="493059" cy="156882"/>
          </a:xfrm>
          <a:prstGeom prst="rect">
            <a:avLst/>
          </a:prstGeom>
          <a:solidFill>
            <a:srgbClr val="D4F9FE"/>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Text Box 4"/>
          <xdr:cNvSpPr txBox="1">
            <a:spLocks noChangeArrowheads="1"/>
          </xdr:cNvSpPr>
        </xdr:nvSpPr>
        <xdr:spPr bwMode="auto">
          <a:xfrm>
            <a:off x="3305175" y="120093"/>
            <a:ext cx="805051" cy="276225"/>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：手入力</a:t>
            </a:r>
          </a:p>
        </xdr:txBody>
      </xdr:sp>
    </xdr:grpSp>
    <xdr:clientData/>
  </xdr:twoCellAnchor>
  <xdr:twoCellAnchor>
    <xdr:from>
      <xdr:col>3</xdr:col>
      <xdr:colOff>1588552</xdr:colOff>
      <xdr:row>0</xdr:row>
      <xdr:rowOff>123777</xdr:rowOff>
    </xdr:from>
    <xdr:to>
      <xdr:col>4</xdr:col>
      <xdr:colOff>619992</xdr:colOff>
      <xdr:row>0</xdr:row>
      <xdr:rowOff>395520</xdr:rowOff>
    </xdr:to>
    <xdr:grpSp>
      <xdr:nvGrpSpPr>
        <xdr:cNvPr id="8" name="グループ化 7"/>
        <xdr:cNvGrpSpPr/>
      </xdr:nvGrpSpPr>
      <xdr:grpSpPr>
        <a:xfrm>
          <a:off x="4120358" y="123777"/>
          <a:ext cx="1931957" cy="271743"/>
          <a:chOff x="6565503" y="74081"/>
          <a:chExt cx="1938529" cy="271743"/>
        </a:xfrm>
      </xdr:grpSpPr>
      <xdr:sp macro="" textlink="">
        <xdr:nvSpPr>
          <xdr:cNvPr id="6" name="正方形/長方形 5"/>
          <xdr:cNvSpPr/>
        </xdr:nvSpPr>
        <xdr:spPr>
          <a:xfrm>
            <a:off x="6565503" y="137282"/>
            <a:ext cx="490337" cy="154336"/>
          </a:xfrm>
          <a:prstGeom prst="rect">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Text Box 4"/>
          <xdr:cNvSpPr txBox="1">
            <a:spLocks noChangeArrowheads="1"/>
          </xdr:cNvSpPr>
        </xdr:nvSpPr>
        <xdr:spPr bwMode="auto">
          <a:xfrm>
            <a:off x="7104317" y="74081"/>
            <a:ext cx="1399715" cy="271743"/>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：プルダウンで選択</a:t>
            </a:r>
          </a:p>
        </xdr:txBody>
      </xdr:sp>
    </xdr:grpSp>
    <xdr:clientData/>
  </xdr:twoCellAnchor>
  <xdr:twoCellAnchor>
    <xdr:from>
      <xdr:col>5</xdr:col>
      <xdr:colOff>11005</xdr:colOff>
      <xdr:row>0</xdr:row>
      <xdr:rowOff>121716</xdr:rowOff>
    </xdr:from>
    <xdr:to>
      <xdr:col>6</xdr:col>
      <xdr:colOff>283219</xdr:colOff>
      <xdr:row>0</xdr:row>
      <xdr:rowOff>393459</xdr:rowOff>
    </xdr:to>
    <xdr:grpSp>
      <xdr:nvGrpSpPr>
        <xdr:cNvPr id="9" name="グループ化 8"/>
        <xdr:cNvGrpSpPr/>
      </xdr:nvGrpSpPr>
      <xdr:grpSpPr>
        <a:xfrm>
          <a:off x="6660070" y="121716"/>
          <a:ext cx="2373859" cy="271743"/>
          <a:chOff x="6565503" y="74081"/>
          <a:chExt cx="2380136" cy="271743"/>
        </a:xfrm>
      </xdr:grpSpPr>
      <xdr:sp macro="" textlink="">
        <xdr:nvSpPr>
          <xdr:cNvPr id="10" name="正方形/長方形 9"/>
          <xdr:cNvSpPr/>
        </xdr:nvSpPr>
        <xdr:spPr>
          <a:xfrm>
            <a:off x="6565503" y="137282"/>
            <a:ext cx="490337" cy="154336"/>
          </a:xfrm>
          <a:prstGeom prst="rect">
            <a:avLst/>
          </a:prstGeom>
          <a:solidFill>
            <a:schemeClr val="accent5">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Text Box 4"/>
          <xdr:cNvSpPr txBox="1">
            <a:spLocks noChangeArrowheads="1"/>
          </xdr:cNvSpPr>
        </xdr:nvSpPr>
        <xdr:spPr bwMode="auto">
          <a:xfrm>
            <a:off x="7104316" y="74081"/>
            <a:ext cx="1841323" cy="271743"/>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：他の入力値から自動計算</a:t>
            </a:r>
          </a:p>
        </xdr:txBody>
      </xdr:sp>
    </xdr:grpSp>
    <xdr:clientData/>
  </xdr:twoCellAnchor>
  <xdr:twoCellAnchor>
    <xdr:from>
      <xdr:col>6</xdr:col>
      <xdr:colOff>559059</xdr:colOff>
      <xdr:row>0</xdr:row>
      <xdr:rowOff>120251</xdr:rowOff>
    </xdr:from>
    <xdr:to>
      <xdr:col>7</xdr:col>
      <xdr:colOff>640773</xdr:colOff>
      <xdr:row>0</xdr:row>
      <xdr:rowOff>391994</xdr:rowOff>
    </xdr:to>
    <xdr:grpSp>
      <xdr:nvGrpSpPr>
        <xdr:cNvPr id="12" name="グループ化 11"/>
        <xdr:cNvGrpSpPr/>
      </xdr:nvGrpSpPr>
      <xdr:grpSpPr>
        <a:xfrm>
          <a:off x="9309769" y="120251"/>
          <a:ext cx="2380004" cy="271743"/>
          <a:chOff x="6565503" y="74081"/>
          <a:chExt cx="2380136" cy="271743"/>
        </a:xfrm>
      </xdr:grpSpPr>
      <xdr:sp macro="" textlink="">
        <xdr:nvSpPr>
          <xdr:cNvPr id="13" name="正方形/長方形 12"/>
          <xdr:cNvSpPr/>
        </xdr:nvSpPr>
        <xdr:spPr>
          <a:xfrm>
            <a:off x="6565503" y="137282"/>
            <a:ext cx="490337" cy="154336"/>
          </a:xfrm>
          <a:prstGeom prst="rect">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Text Box 4"/>
          <xdr:cNvSpPr txBox="1">
            <a:spLocks noChangeArrowheads="1"/>
          </xdr:cNvSpPr>
        </xdr:nvSpPr>
        <xdr:spPr bwMode="auto">
          <a:xfrm>
            <a:off x="7104316" y="74081"/>
            <a:ext cx="1841323" cy="271743"/>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：固定値（変更不可）</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ysClr val="windowText" lastClr="00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W121"/>
  <sheetViews>
    <sheetView showGridLines="0" tabSelected="1" view="pageBreakPreview" topLeftCell="A98" zoomScale="62" zoomScaleNormal="85" zoomScaleSheetLayoutView="55" workbookViewId="0">
      <selection activeCell="H120" sqref="H120"/>
    </sheetView>
  </sheetViews>
  <sheetFormatPr defaultColWidth="9" defaultRowHeight="18" x14ac:dyDescent="0.45"/>
  <cols>
    <col min="1" max="1" width="1.59765625" style="46" customWidth="1"/>
    <col min="2" max="2" width="11" style="46" customWidth="1"/>
    <col min="3" max="3" width="20.69921875" style="46" bestFit="1" customWidth="1"/>
    <col min="4" max="4" width="38.09765625" style="46" bestFit="1" customWidth="1"/>
    <col min="5" max="5" width="16" style="46" bestFit="1" customWidth="1"/>
    <col min="6" max="6" width="27.59765625" style="46" customWidth="1"/>
    <col min="7" max="7" width="30.09765625" style="46" customWidth="1"/>
    <col min="8" max="8" width="22.69921875" style="46" bestFit="1" customWidth="1"/>
    <col min="9" max="9" width="50.09765625" style="46" bestFit="1" customWidth="1"/>
    <col min="10" max="10" width="2.69921875" style="46" customWidth="1"/>
    <col min="11" max="11" width="32.3984375" style="46" bestFit="1" customWidth="1"/>
    <col min="12" max="12" width="10" style="46" bestFit="1" customWidth="1"/>
    <col min="13" max="15" width="1.59765625" style="46" customWidth="1"/>
    <col min="16" max="17" width="19.19921875" style="46" customWidth="1"/>
    <col min="18" max="18" width="8.59765625" style="46" customWidth="1"/>
    <col min="19" max="19" width="21.3984375" style="46" customWidth="1"/>
    <col min="20" max="20" width="11.59765625" style="46" customWidth="1"/>
    <col min="21" max="21" width="11.69921875" style="46" bestFit="1" customWidth="1"/>
    <col min="22" max="22" width="10.09765625" style="46" bestFit="1" customWidth="1"/>
    <col min="23" max="16384" width="9" style="46"/>
  </cols>
  <sheetData>
    <row r="1" spans="2:23" ht="32.4" x14ac:dyDescent="0.45">
      <c r="B1" s="7" t="s">
        <v>36</v>
      </c>
      <c r="D1" s="16"/>
    </row>
    <row r="2" spans="2:23" x14ac:dyDescent="0.45">
      <c r="B2" s="157" t="s">
        <v>203</v>
      </c>
      <c r="C2" s="157"/>
      <c r="D2" s="157"/>
      <c r="E2" s="39"/>
      <c r="F2" s="157" t="s">
        <v>204</v>
      </c>
      <c r="G2" s="157"/>
      <c r="H2" s="81"/>
    </row>
    <row r="3" spans="2:23" x14ac:dyDescent="0.45">
      <c r="B3" s="157" t="s">
        <v>69</v>
      </c>
      <c r="C3" s="157"/>
      <c r="D3" s="29">
        <v>100</v>
      </c>
      <c r="E3" s="92" t="s">
        <v>224</v>
      </c>
      <c r="F3" s="86" t="s">
        <v>83</v>
      </c>
      <c r="G3" s="30">
        <v>1.096449</v>
      </c>
      <c r="H3" s="63" t="s">
        <v>214</v>
      </c>
    </row>
    <row r="4" spans="2:23" ht="19.8" x14ac:dyDescent="0.45">
      <c r="B4" s="157" t="s">
        <v>68</v>
      </c>
      <c r="C4" s="157"/>
      <c r="D4" s="115">
        <f>D3*(1-D5/100)*100</f>
        <v>2400</v>
      </c>
      <c r="E4" s="23" t="s">
        <v>258</v>
      </c>
      <c r="F4" s="17" t="s">
        <v>53</v>
      </c>
      <c r="G4" s="30">
        <v>15</v>
      </c>
      <c r="H4" s="18"/>
    </row>
    <row r="5" spans="2:23" x14ac:dyDescent="0.45">
      <c r="B5" s="157" t="s">
        <v>67</v>
      </c>
      <c r="C5" s="157"/>
      <c r="D5" s="116">
        <v>76</v>
      </c>
      <c r="E5" s="23" t="s">
        <v>215</v>
      </c>
      <c r="F5" s="17" t="s">
        <v>105</v>
      </c>
      <c r="G5" s="40">
        <v>500000</v>
      </c>
      <c r="H5" s="18"/>
    </row>
    <row r="6" spans="2:23" x14ac:dyDescent="0.45">
      <c r="B6" s="157" t="s">
        <v>78</v>
      </c>
      <c r="C6" s="157"/>
      <c r="D6" s="116">
        <v>84</v>
      </c>
      <c r="E6" s="23" t="s">
        <v>215</v>
      </c>
      <c r="F6" s="17" t="s">
        <v>94</v>
      </c>
      <c r="G6" s="40">
        <v>20000</v>
      </c>
      <c r="H6" s="18"/>
    </row>
    <row r="7" spans="2:23" x14ac:dyDescent="0.45">
      <c r="B7" s="222" t="s">
        <v>52</v>
      </c>
      <c r="C7" s="227"/>
      <c r="D7" s="117">
        <f>365*0.8</f>
        <v>292</v>
      </c>
      <c r="E7" s="23" t="s">
        <v>215</v>
      </c>
      <c r="F7" s="17" t="s">
        <v>101</v>
      </c>
      <c r="G7" s="30">
        <v>90</v>
      </c>
      <c r="H7" s="54" t="s">
        <v>206</v>
      </c>
    </row>
    <row r="8" spans="2:23" x14ac:dyDescent="0.45">
      <c r="B8" s="157" t="s">
        <v>73</v>
      </c>
      <c r="C8" s="157"/>
      <c r="D8" s="114">
        <f>D3*D7</f>
        <v>29200</v>
      </c>
      <c r="E8" s="23" t="s">
        <v>258</v>
      </c>
      <c r="F8" s="17" t="s">
        <v>106</v>
      </c>
      <c r="G8" s="40">
        <v>40</v>
      </c>
      <c r="H8" s="54" t="s">
        <v>205</v>
      </c>
      <c r="I8" s="19"/>
      <c r="P8" s="45"/>
      <c r="Q8" s="155" t="s">
        <v>236</v>
      </c>
      <c r="R8" s="156"/>
      <c r="S8" s="155" t="s">
        <v>240</v>
      </c>
      <c r="T8" s="156"/>
    </row>
    <row r="9" spans="2:23" ht="19.8" x14ac:dyDescent="0.45">
      <c r="B9" s="157" t="s">
        <v>74</v>
      </c>
      <c r="C9" s="157"/>
      <c r="D9" s="114">
        <f>D8*(1-D5/100)*100</f>
        <v>700800</v>
      </c>
      <c r="E9" s="23" t="s">
        <v>258</v>
      </c>
      <c r="F9" s="17" t="s">
        <v>108</v>
      </c>
      <c r="G9" s="40">
        <v>8000</v>
      </c>
      <c r="H9" s="41"/>
      <c r="I9" s="31"/>
      <c r="P9" s="45" t="s">
        <v>38</v>
      </c>
      <c r="Q9" s="45">
        <v>44.8</v>
      </c>
      <c r="R9" s="45" t="s">
        <v>48</v>
      </c>
      <c r="S9" s="17">
        <v>2.23</v>
      </c>
      <c r="T9" s="17" t="s">
        <v>59</v>
      </c>
      <c r="U9" s="46" t="s">
        <v>209</v>
      </c>
      <c r="V9" s="84" t="s">
        <v>211</v>
      </c>
    </row>
    <row r="10" spans="2:23" s="89" customFormat="1" ht="19.8" x14ac:dyDescent="0.45">
      <c r="B10" s="157" t="s">
        <v>218</v>
      </c>
      <c r="C10" s="157"/>
      <c r="D10" s="85">
        <v>642.4</v>
      </c>
      <c r="E10" s="23"/>
      <c r="F10" s="93"/>
      <c r="G10" s="93"/>
      <c r="H10" s="41"/>
      <c r="I10" s="31"/>
      <c r="O10" s="46"/>
      <c r="P10" s="45" t="s">
        <v>40</v>
      </c>
      <c r="Q10" s="45">
        <v>0</v>
      </c>
      <c r="R10" s="45" t="s">
        <v>48</v>
      </c>
      <c r="S10" s="20">
        <v>0</v>
      </c>
      <c r="T10" s="20" t="s">
        <v>60</v>
      </c>
      <c r="U10" s="46" t="s">
        <v>209</v>
      </c>
      <c r="V10" s="84" t="s">
        <v>211</v>
      </c>
      <c r="W10" s="46"/>
    </row>
    <row r="11" spans="2:23" ht="19.8" x14ac:dyDescent="0.45">
      <c r="B11" s="157" t="s">
        <v>217</v>
      </c>
      <c r="C11" s="157"/>
      <c r="D11" s="85">
        <v>2788.6</v>
      </c>
      <c r="F11" s="41"/>
      <c r="G11" s="41"/>
      <c r="H11" s="41"/>
      <c r="I11" s="31"/>
      <c r="P11" s="45" t="s">
        <v>39</v>
      </c>
      <c r="Q11" s="45">
        <v>36.700000000000003</v>
      </c>
      <c r="R11" s="45" t="s">
        <v>41</v>
      </c>
      <c r="S11" s="20">
        <v>2.4900000000000002</v>
      </c>
      <c r="T11" s="20" t="s">
        <v>61</v>
      </c>
      <c r="U11" s="46" t="s">
        <v>210</v>
      </c>
      <c r="V11" s="11" t="s">
        <v>212</v>
      </c>
    </row>
    <row r="12" spans="2:23" ht="19.8" x14ac:dyDescent="0.45">
      <c r="B12" s="208" t="s">
        <v>62</v>
      </c>
      <c r="C12" s="209"/>
      <c r="D12" s="96" t="s">
        <v>257</v>
      </c>
      <c r="E12" s="32" t="s">
        <v>47</v>
      </c>
      <c r="F12" s="21" t="s">
        <v>235</v>
      </c>
      <c r="G12" s="82">
        <f>IF($D$12="","",VLOOKUP($D$12,$P$9:$R$12,2,FALSE))</f>
        <v>39.1</v>
      </c>
      <c r="H12" s="27" t="str">
        <f>IF($D$12="","",VLOOKUP($D$12,$P$9:$R$12,3,FALSE))</f>
        <v>MJ/L</v>
      </c>
      <c r="P12" s="45" t="s">
        <v>49</v>
      </c>
      <c r="Q12" s="45">
        <v>39.1</v>
      </c>
      <c r="R12" s="45" t="s">
        <v>41</v>
      </c>
      <c r="S12" s="20">
        <v>2.71</v>
      </c>
      <c r="T12" s="20" t="s">
        <v>61</v>
      </c>
      <c r="U12" s="46" t="s">
        <v>210</v>
      </c>
      <c r="V12" s="11" t="s">
        <v>212</v>
      </c>
    </row>
    <row r="13" spans="2:23" ht="19.8" x14ac:dyDescent="0.45">
      <c r="B13" s="208" t="s">
        <v>207</v>
      </c>
      <c r="C13" s="209"/>
      <c r="D13" s="30">
        <v>517</v>
      </c>
      <c r="E13" s="22"/>
      <c r="F13" s="21" t="s">
        <v>239</v>
      </c>
      <c r="G13" s="82">
        <f>IF($D$12="","",VLOOKUP($D$12,$P$9:$T$12,4,FALSE))</f>
        <v>2.71</v>
      </c>
      <c r="H13" s="27" t="str">
        <f>IF($D$12="","",VLOOKUP($D$12,$P$9:$T$12,5,FALSE))</f>
        <v>kg-CO2/L</v>
      </c>
      <c r="O13" s="1"/>
    </row>
    <row r="14" spans="2:23" x14ac:dyDescent="0.45">
      <c r="B14" s="23" t="s">
        <v>216</v>
      </c>
      <c r="P14" s="11"/>
      <c r="Q14" s="11"/>
      <c r="R14" s="11"/>
    </row>
    <row r="15" spans="2:23" s="89" customFormat="1" x14ac:dyDescent="0.45">
      <c r="B15" s="23"/>
      <c r="J15" s="11"/>
      <c r="K15" s="11"/>
      <c r="P15" s="11"/>
      <c r="Q15" s="11"/>
      <c r="R15" s="11"/>
    </row>
    <row r="16" spans="2:23" s="89" customFormat="1" x14ac:dyDescent="0.45">
      <c r="B16" s="102" t="s">
        <v>226</v>
      </c>
      <c r="C16" s="10"/>
      <c r="D16" s="10"/>
      <c r="E16" s="10"/>
      <c r="F16" s="10"/>
      <c r="G16" s="10"/>
      <c r="H16" s="10"/>
      <c r="I16" s="87"/>
      <c r="J16" s="11"/>
      <c r="K16" s="11"/>
      <c r="P16" s="11"/>
      <c r="Q16" s="11"/>
      <c r="R16" s="11"/>
    </row>
    <row r="17" spans="1:18" s="89" customFormat="1" x14ac:dyDescent="0.45">
      <c r="B17" s="18" t="s">
        <v>223</v>
      </c>
      <c r="C17" s="90" t="s">
        <v>230</v>
      </c>
      <c r="D17" s="11"/>
      <c r="E17" s="11"/>
      <c r="F17" s="11"/>
      <c r="G17" s="11"/>
      <c r="H17" s="11"/>
      <c r="I17" s="99"/>
      <c r="J17" s="11"/>
      <c r="K17" s="11"/>
      <c r="P17" s="11"/>
      <c r="Q17" s="11"/>
      <c r="R17" s="11"/>
    </row>
    <row r="18" spans="1:18" s="89" customFormat="1" x14ac:dyDescent="0.45">
      <c r="B18" s="18"/>
      <c r="C18" s="90" t="s">
        <v>229</v>
      </c>
      <c r="D18" s="11"/>
      <c r="E18" s="11"/>
      <c r="F18" s="11"/>
      <c r="G18" s="11"/>
      <c r="H18" s="11"/>
      <c r="I18" s="99"/>
      <c r="J18" s="11"/>
      <c r="K18" s="11"/>
      <c r="P18" s="11"/>
      <c r="Q18" s="11"/>
      <c r="R18" s="11"/>
    </row>
    <row r="19" spans="1:18" s="89" customFormat="1" x14ac:dyDescent="0.45">
      <c r="B19" s="18" t="s">
        <v>223</v>
      </c>
      <c r="C19" s="90" t="s">
        <v>232</v>
      </c>
      <c r="D19" s="11"/>
      <c r="E19" s="11"/>
      <c r="F19" s="11"/>
      <c r="G19" s="11"/>
      <c r="H19" s="11"/>
      <c r="I19" s="99"/>
      <c r="J19" s="11"/>
      <c r="K19" s="11"/>
      <c r="P19" s="11"/>
      <c r="Q19" s="11"/>
      <c r="R19" s="11"/>
    </row>
    <row r="20" spans="1:18" s="89" customFormat="1" x14ac:dyDescent="0.45">
      <c r="B20" s="18"/>
      <c r="C20" s="90" t="s">
        <v>233</v>
      </c>
      <c r="D20" s="11"/>
      <c r="E20" s="11"/>
      <c r="F20" s="11"/>
      <c r="G20" s="11"/>
      <c r="H20" s="11"/>
      <c r="I20" s="99"/>
      <c r="J20" s="11"/>
      <c r="K20" s="11"/>
      <c r="P20" s="11"/>
      <c r="Q20" s="11"/>
      <c r="R20" s="11"/>
    </row>
    <row r="21" spans="1:18" s="89" customFormat="1" x14ac:dyDescent="0.45">
      <c r="B21" s="18"/>
      <c r="C21" s="90" t="s">
        <v>234</v>
      </c>
      <c r="D21" s="11"/>
      <c r="E21" s="11"/>
      <c r="F21" s="11"/>
      <c r="G21" s="11"/>
      <c r="H21" s="11"/>
      <c r="I21" s="99"/>
      <c r="J21" s="11"/>
      <c r="K21" s="11"/>
      <c r="P21" s="11"/>
      <c r="Q21" s="11"/>
      <c r="R21" s="11"/>
    </row>
    <row r="22" spans="1:18" s="89" customFormat="1" x14ac:dyDescent="0.45">
      <c r="B22" s="18" t="s">
        <v>223</v>
      </c>
      <c r="C22" s="90" t="s">
        <v>227</v>
      </c>
      <c r="D22" s="11"/>
      <c r="E22" s="11"/>
      <c r="F22" s="11"/>
      <c r="G22" s="11"/>
      <c r="H22" s="11"/>
      <c r="I22" s="99"/>
      <c r="J22" s="11"/>
      <c r="K22" s="11"/>
      <c r="P22" s="11"/>
      <c r="Q22" s="11"/>
      <c r="R22" s="11"/>
    </row>
    <row r="23" spans="1:18" s="89" customFormat="1" x14ac:dyDescent="0.45">
      <c r="B23" s="18"/>
      <c r="C23" s="90" t="s">
        <v>231</v>
      </c>
      <c r="D23" s="11"/>
      <c r="E23" s="11"/>
      <c r="F23" s="11"/>
      <c r="G23" s="11"/>
      <c r="H23" s="11"/>
      <c r="I23" s="99"/>
      <c r="J23" s="11"/>
      <c r="K23" s="11"/>
      <c r="P23" s="11"/>
      <c r="Q23" s="11"/>
      <c r="R23" s="11"/>
    </row>
    <row r="24" spans="1:18" s="89" customFormat="1" x14ac:dyDescent="0.45">
      <c r="B24" s="101"/>
      <c r="C24" s="91" t="s">
        <v>228</v>
      </c>
      <c r="D24" s="100"/>
      <c r="E24" s="100"/>
      <c r="F24" s="100"/>
      <c r="G24" s="100"/>
      <c r="H24" s="100"/>
      <c r="I24" s="88"/>
      <c r="J24" s="11"/>
      <c r="K24" s="11"/>
      <c r="P24" s="11"/>
      <c r="Q24" s="11"/>
      <c r="R24" s="11"/>
    </row>
    <row r="25" spans="1:18" ht="32.4" x14ac:dyDescent="0.45">
      <c r="F25" s="1"/>
      <c r="J25" s="11"/>
      <c r="K25" s="11"/>
      <c r="O25" s="24"/>
      <c r="P25" s="11"/>
      <c r="Q25" s="11"/>
      <c r="R25" s="11"/>
    </row>
    <row r="26" spans="1:18" ht="32.4" x14ac:dyDescent="0.45">
      <c r="B26" s="7" t="s">
        <v>66</v>
      </c>
      <c r="J26" s="11"/>
      <c r="K26" s="11"/>
      <c r="O26" s="11"/>
      <c r="P26" s="11"/>
      <c r="Q26" s="25"/>
      <c r="R26" s="11"/>
    </row>
    <row r="27" spans="1:18" x14ac:dyDescent="0.45">
      <c r="A27" s="25"/>
      <c r="B27" s="45" t="s">
        <v>11</v>
      </c>
      <c r="C27" s="45" t="s">
        <v>13</v>
      </c>
      <c r="D27" s="45" t="s">
        <v>12</v>
      </c>
      <c r="E27" s="45" t="s">
        <v>15</v>
      </c>
      <c r="F27" s="155" t="s">
        <v>24</v>
      </c>
      <c r="G27" s="156"/>
      <c r="H27" s="45" t="s">
        <v>14</v>
      </c>
      <c r="I27" s="45" t="s">
        <v>10</v>
      </c>
      <c r="O27" s="11"/>
      <c r="P27" s="56"/>
      <c r="Q27" s="25"/>
      <c r="R27" s="225"/>
    </row>
    <row r="28" spans="1:18" ht="18.600000000000001" customHeight="1" x14ac:dyDescent="0.45">
      <c r="B28" s="210" t="s">
        <v>0</v>
      </c>
      <c r="C28" s="34" t="s">
        <v>63</v>
      </c>
      <c r="D28" s="9" t="s">
        <v>64</v>
      </c>
      <c r="E28" s="45" t="s">
        <v>22</v>
      </c>
      <c r="F28" s="222" t="s">
        <v>259</v>
      </c>
      <c r="G28" s="209"/>
      <c r="H28" s="122">
        <f>0.227*$D$4^0.444*100*G3</f>
        <v>788.54790874703224</v>
      </c>
      <c r="I28" s="6" t="s">
        <v>119</v>
      </c>
      <c r="K28" s="60"/>
      <c r="O28" s="226"/>
      <c r="P28" s="56"/>
      <c r="Q28" s="25"/>
      <c r="R28" s="225"/>
    </row>
    <row r="29" spans="1:18" ht="19.5" customHeight="1" x14ac:dyDescent="0.45">
      <c r="B29" s="221"/>
      <c r="C29" s="35"/>
      <c r="D29" s="55" t="s">
        <v>1</v>
      </c>
      <c r="E29" s="45" t="s">
        <v>22</v>
      </c>
      <c r="F29" s="208" t="s">
        <v>260</v>
      </c>
      <c r="G29" s="209"/>
      <c r="H29" s="122">
        <f>0.434*$D$4^0.373*100*G3</f>
        <v>867.55488286121272</v>
      </c>
      <c r="I29" s="6" t="s">
        <v>120</v>
      </c>
      <c r="O29" s="226"/>
      <c r="P29" s="56"/>
      <c r="Q29" s="25"/>
      <c r="R29" s="57"/>
    </row>
    <row r="30" spans="1:18" ht="19.5" customHeight="1" x14ac:dyDescent="0.45">
      <c r="B30" s="221"/>
      <c r="C30" s="35"/>
      <c r="D30" s="55" t="s">
        <v>65</v>
      </c>
      <c r="E30" s="45" t="s">
        <v>22</v>
      </c>
      <c r="F30" s="208" t="s">
        <v>25</v>
      </c>
      <c r="G30" s="209"/>
      <c r="H30" s="122" t="s">
        <v>25</v>
      </c>
      <c r="I30" s="6" t="s">
        <v>72</v>
      </c>
      <c r="O30" s="226"/>
      <c r="P30" s="56"/>
      <c r="Q30" s="25"/>
      <c r="R30" s="57"/>
    </row>
    <row r="31" spans="1:18" ht="19.5" customHeight="1" x14ac:dyDescent="0.45">
      <c r="B31" s="221"/>
      <c r="C31" s="35"/>
      <c r="D31" s="55" t="s">
        <v>2</v>
      </c>
      <c r="E31" s="45" t="s">
        <v>23</v>
      </c>
      <c r="F31" s="208" t="s">
        <v>261</v>
      </c>
      <c r="G31" s="209"/>
      <c r="H31" s="122">
        <f>0.039*D9^0.596</f>
        <v>118.86081028293125</v>
      </c>
      <c r="I31" s="6" t="s">
        <v>121</v>
      </c>
      <c r="O31" s="226"/>
      <c r="P31" s="56"/>
      <c r="Q31" s="25"/>
      <c r="R31" s="57"/>
    </row>
    <row r="32" spans="1:18" ht="19.5" customHeight="1" x14ac:dyDescent="0.45">
      <c r="B32" s="221"/>
      <c r="C32" s="34" t="s">
        <v>9</v>
      </c>
      <c r="D32" s="9" t="s">
        <v>64</v>
      </c>
      <c r="E32" s="45" t="s">
        <v>22</v>
      </c>
      <c r="F32" s="208" t="s">
        <v>262</v>
      </c>
      <c r="G32" s="209"/>
      <c r="H32" s="122">
        <f>2.426*$D$3^0.0094*100*G3</f>
        <v>277.76609438581119</v>
      </c>
      <c r="I32" s="6" t="s">
        <v>122</v>
      </c>
      <c r="O32" s="226"/>
      <c r="P32" s="56"/>
      <c r="R32" s="57"/>
    </row>
    <row r="33" spans="2:20" ht="19.5" customHeight="1" x14ac:dyDescent="0.45">
      <c r="B33" s="221"/>
      <c r="C33" s="35"/>
      <c r="D33" s="55" t="s">
        <v>1</v>
      </c>
      <c r="E33" s="45" t="s">
        <v>22</v>
      </c>
      <c r="F33" s="208" t="s">
        <v>263</v>
      </c>
      <c r="G33" s="209"/>
      <c r="H33" s="122">
        <f>1.888*$D$3^0.597*100*G3</f>
        <v>3235.8652322539483</v>
      </c>
      <c r="I33" s="36" t="s">
        <v>123</v>
      </c>
      <c r="O33" s="226"/>
      <c r="P33" s="56"/>
      <c r="Q33" s="25"/>
      <c r="R33" s="57"/>
    </row>
    <row r="34" spans="2:20" ht="19.5" customHeight="1" x14ac:dyDescent="0.45">
      <c r="B34" s="221"/>
      <c r="C34" s="35"/>
      <c r="D34" s="48" t="s">
        <v>65</v>
      </c>
      <c r="E34" s="45" t="s">
        <v>22</v>
      </c>
      <c r="F34" s="208" t="s">
        <v>264</v>
      </c>
      <c r="G34" s="209"/>
      <c r="H34" s="122">
        <f>0.726*$D$3^0.539*100*G3</f>
        <v>952.63176009700101</v>
      </c>
      <c r="I34" s="6" t="s">
        <v>124</v>
      </c>
      <c r="O34" s="226"/>
      <c r="P34" s="56"/>
      <c r="Q34" s="25"/>
      <c r="R34" s="57"/>
    </row>
    <row r="35" spans="2:20" ht="19.5" customHeight="1" x14ac:dyDescent="0.45">
      <c r="B35" s="221"/>
      <c r="C35" s="37"/>
      <c r="D35" s="55" t="s">
        <v>75</v>
      </c>
      <c r="E35" s="45" t="s">
        <v>23</v>
      </c>
      <c r="F35" s="155" t="s">
        <v>77</v>
      </c>
      <c r="G35" s="156"/>
      <c r="H35" s="122">
        <f>0.287*D8^0.673</f>
        <v>290.45881135133777</v>
      </c>
      <c r="I35" s="6" t="s">
        <v>125</v>
      </c>
      <c r="O35" s="226"/>
      <c r="P35" s="56"/>
      <c r="Q35" s="25"/>
      <c r="R35" s="11"/>
    </row>
    <row r="36" spans="2:20" ht="19.5" customHeight="1" x14ac:dyDescent="0.45">
      <c r="B36" s="221"/>
      <c r="C36" s="37"/>
      <c r="D36" s="55" t="s">
        <v>76</v>
      </c>
      <c r="E36" s="45" t="s">
        <v>23</v>
      </c>
      <c r="F36" s="155" t="s">
        <v>82</v>
      </c>
      <c r="G36" s="156"/>
      <c r="H36" s="122">
        <f>D8*(1-D5/100)*(1-D6/100)/(1-30/100)*G9/1000000</f>
        <v>12.814628571428575</v>
      </c>
      <c r="I36" s="6" t="s">
        <v>126</v>
      </c>
      <c r="O36" s="226"/>
      <c r="P36" s="56"/>
      <c r="Q36" s="56"/>
      <c r="R36" s="56"/>
      <c r="S36" s="56"/>
      <c r="T36" s="56"/>
    </row>
    <row r="37" spans="2:20" ht="19.5" customHeight="1" x14ac:dyDescent="0.45">
      <c r="B37" s="221"/>
      <c r="C37" s="155" t="s">
        <v>8</v>
      </c>
      <c r="D37" s="156"/>
      <c r="E37" s="45" t="s">
        <v>22</v>
      </c>
      <c r="F37" s="155" t="s">
        <v>25</v>
      </c>
      <c r="G37" s="156"/>
      <c r="H37" s="122">
        <f>+H28+H29+H32+H33+H34</f>
        <v>6122.3658783450046</v>
      </c>
      <c r="I37" s="6" t="s">
        <v>134</v>
      </c>
      <c r="O37" s="56"/>
      <c r="P37" s="56"/>
      <c r="Q37" s="56"/>
      <c r="R37" s="56"/>
      <c r="S37" s="56"/>
      <c r="T37" s="56"/>
    </row>
    <row r="38" spans="2:20" ht="19.5" customHeight="1" x14ac:dyDescent="0.45">
      <c r="B38" s="221"/>
      <c r="C38" s="200" t="s">
        <v>4</v>
      </c>
      <c r="D38" s="201"/>
      <c r="E38" s="158" t="s">
        <v>23</v>
      </c>
      <c r="F38" s="138" t="s">
        <v>50</v>
      </c>
      <c r="G38" s="139"/>
      <c r="H38" s="229">
        <f>$H28*L38/100*(1+L38/100)^L40/((1+L38/100)^L40-1)
+$H29*L38/100*(1+L38/100)^L42/((1+L38/100)^L42-1)
+$H32*L38/100*(1+L38/100)^L40/((1+L38/100)^L40-1)
+$H33*L38/100*(1+L38/100)^L41/((1+L38/100)^L41-1)
+$H34*L38/100*(1+L38/100)^L43/((1+L38/100)^L43-1)</f>
        <v>546.87935052356931</v>
      </c>
      <c r="I38" s="231" t="s">
        <v>135</v>
      </c>
      <c r="K38" s="45" t="s">
        <v>55</v>
      </c>
      <c r="L38" s="29">
        <v>2.2999999999999998</v>
      </c>
      <c r="O38" s="56"/>
      <c r="P38" s="56"/>
      <c r="Q38" s="3"/>
      <c r="R38" s="11"/>
    </row>
    <row r="39" spans="2:20" ht="19.5" customHeight="1" x14ac:dyDescent="0.45">
      <c r="B39" s="221"/>
      <c r="C39" s="202"/>
      <c r="D39" s="203"/>
      <c r="E39" s="186"/>
      <c r="F39" s="142"/>
      <c r="G39" s="143"/>
      <c r="H39" s="230"/>
      <c r="I39" s="213"/>
      <c r="K39" s="157" t="s">
        <v>56</v>
      </c>
      <c r="L39" s="157"/>
      <c r="O39" s="56"/>
      <c r="P39" s="56"/>
      <c r="Q39" s="11"/>
      <c r="R39" s="11"/>
    </row>
    <row r="40" spans="2:20" ht="19.5" customHeight="1" x14ac:dyDescent="0.45">
      <c r="B40" s="221"/>
      <c r="C40" s="138" t="s">
        <v>79</v>
      </c>
      <c r="D40" s="139"/>
      <c r="E40" s="158" t="s">
        <v>23</v>
      </c>
      <c r="F40" s="200" t="s">
        <v>25</v>
      </c>
      <c r="G40" s="201"/>
      <c r="H40" s="223">
        <f>H31+H35+H36</f>
        <v>422.13425020569758</v>
      </c>
      <c r="I40" s="210" t="s">
        <v>136</v>
      </c>
      <c r="K40" s="45" t="s">
        <v>45</v>
      </c>
      <c r="L40" s="94">
        <v>50</v>
      </c>
      <c r="O40" s="56"/>
      <c r="P40" s="56"/>
      <c r="Q40" s="11"/>
      <c r="R40" s="11"/>
    </row>
    <row r="41" spans="2:20" ht="19.2" customHeight="1" x14ac:dyDescent="0.45">
      <c r="B41" s="221"/>
      <c r="C41" s="142"/>
      <c r="D41" s="143"/>
      <c r="E41" s="186"/>
      <c r="F41" s="202"/>
      <c r="G41" s="203"/>
      <c r="H41" s="224"/>
      <c r="I41" s="211"/>
      <c r="K41" s="43" t="s">
        <v>70</v>
      </c>
      <c r="L41" s="95">
        <v>10</v>
      </c>
      <c r="O41" s="56"/>
      <c r="P41" s="56"/>
      <c r="Q41" s="11"/>
      <c r="R41" s="11"/>
    </row>
    <row r="42" spans="2:20" ht="19.2" customHeight="1" x14ac:dyDescent="0.45">
      <c r="B42" s="221"/>
      <c r="C42" s="155" t="s">
        <v>80</v>
      </c>
      <c r="D42" s="156"/>
      <c r="E42" s="45" t="s">
        <v>23</v>
      </c>
      <c r="F42" s="155" t="s">
        <v>81</v>
      </c>
      <c r="G42" s="156"/>
      <c r="H42" s="123">
        <f>H38*0.1</f>
        <v>54.687935052356934</v>
      </c>
      <c r="I42" s="49" t="s">
        <v>141</v>
      </c>
      <c r="K42" s="43" t="s">
        <v>71</v>
      </c>
      <c r="L42" s="58">
        <v>15</v>
      </c>
      <c r="O42" s="56"/>
      <c r="P42" s="56"/>
      <c r="Q42" s="11"/>
      <c r="R42" s="11"/>
    </row>
    <row r="43" spans="2:20" ht="18.600000000000001" customHeight="1" x14ac:dyDescent="0.45">
      <c r="B43" s="221"/>
      <c r="C43" s="196" t="s">
        <v>54</v>
      </c>
      <c r="D43" s="197"/>
      <c r="E43" s="158" t="s">
        <v>23</v>
      </c>
      <c r="F43" s="200" t="s">
        <v>25</v>
      </c>
      <c r="G43" s="201"/>
      <c r="H43" s="223">
        <f>+H38+H40+H42</f>
        <v>1023.7015357816239</v>
      </c>
      <c r="I43" s="187" t="s">
        <v>140</v>
      </c>
      <c r="K43" s="45" t="s">
        <v>7</v>
      </c>
      <c r="L43" s="29">
        <v>15</v>
      </c>
      <c r="O43" s="8"/>
      <c r="P43" s="56"/>
      <c r="Q43" s="11"/>
      <c r="R43" s="11"/>
    </row>
    <row r="44" spans="2:20" ht="18.600000000000001" customHeight="1" x14ac:dyDescent="0.45">
      <c r="B44" s="211"/>
      <c r="C44" s="198"/>
      <c r="D44" s="199"/>
      <c r="E44" s="186"/>
      <c r="F44" s="202"/>
      <c r="G44" s="203"/>
      <c r="H44" s="224"/>
      <c r="I44" s="188"/>
      <c r="O44" s="56"/>
      <c r="P44" s="56"/>
      <c r="Q44" s="25"/>
      <c r="R44" s="11"/>
    </row>
    <row r="45" spans="2:20" ht="19.5" customHeight="1" x14ac:dyDescent="0.45">
      <c r="B45" s="210" t="s">
        <v>5</v>
      </c>
      <c r="C45" s="34" t="s">
        <v>63</v>
      </c>
      <c r="D45" s="48" t="s">
        <v>1</v>
      </c>
      <c r="E45" s="45" t="s">
        <v>22</v>
      </c>
      <c r="F45" s="167" t="s">
        <v>86</v>
      </c>
      <c r="G45" s="168"/>
      <c r="H45" s="122">
        <f>3.365*$D$3+444.3</f>
        <v>780.8</v>
      </c>
      <c r="I45" s="61" t="s">
        <v>127</v>
      </c>
      <c r="K45" s="60"/>
      <c r="O45" s="56"/>
      <c r="P45" s="56"/>
      <c r="Q45" s="25"/>
      <c r="R45" s="11"/>
    </row>
    <row r="46" spans="2:20" ht="36" x14ac:dyDescent="0.45">
      <c r="B46" s="221"/>
      <c r="C46" s="37"/>
      <c r="D46" s="48" t="s">
        <v>87</v>
      </c>
      <c r="E46" s="38" t="s">
        <v>88</v>
      </c>
      <c r="F46" s="208" t="s">
        <v>189</v>
      </c>
      <c r="G46" s="209"/>
      <c r="H46" s="120">
        <f>4.654*$D$3</f>
        <v>465.4</v>
      </c>
      <c r="I46" s="80" t="s">
        <v>90</v>
      </c>
      <c r="O46" s="56"/>
      <c r="P46" s="56"/>
      <c r="Q46" s="25"/>
      <c r="R46" s="11"/>
    </row>
    <row r="47" spans="2:20" ht="19.5" customHeight="1" x14ac:dyDescent="0.45">
      <c r="B47" s="221"/>
      <c r="C47" s="37"/>
      <c r="D47" s="49"/>
      <c r="E47" s="42" t="s">
        <v>23</v>
      </c>
      <c r="F47" s="206" t="s">
        <v>190</v>
      </c>
      <c r="G47" s="207"/>
      <c r="H47" s="120">
        <f>H46*G4*10^-3</f>
        <v>6.9809999999999999</v>
      </c>
      <c r="I47" s="13" t="s">
        <v>28</v>
      </c>
      <c r="O47" s="56"/>
      <c r="P47" s="56"/>
      <c r="Q47" s="25"/>
      <c r="R47" s="11"/>
    </row>
    <row r="48" spans="2:20" ht="36" x14ac:dyDescent="0.45">
      <c r="B48" s="221"/>
      <c r="C48" s="37"/>
      <c r="D48" s="48" t="s">
        <v>91</v>
      </c>
      <c r="E48" s="38" t="s">
        <v>93</v>
      </c>
      <c r="F48" s="152" t="s">
        <v>174</v>
      </c>
      <c r="G48" s="153"/>
      <c r="H48" s="120">
        <f>0.516*$D$3</f>
        <v>51.6</v>
      </c>
      <c r="I48" s="13" t="s">
        <v>95</v>
      </c>
      <c r="O48" s="56"/>
      <c r="P48" s="56"/>
      <c r="Q48" s="25"/>
      <c r="R48" s="11"/>
    </row>
    <row r="49" spans="2:18" ht="19.5" customHeight="1" x14ac:dyDescent="0.45">
      <c r="B49" s="221"/>
      <c r="C49" s="37"/>
      <c r="D49" s="49"/>
      <c r="E49" s="42" t="s">
        <v>23</v>
      </c>
      <c r="F49" s="194" t="s">
        <v>191</v>
      </c>
      <c r="G49" s="195"/>
      <c r="H49" s="120">
        <f>H48*G5*10^-6</f>
        <v>25.799999999999997</v>
      </c>
      <c r="I49" s="13" t="s">
        <v>29</v>
      </c>
      <c r="O49" s="56"/>
      <c r="P49" s="56"/>
      <c r="Q49" s="3"/>
      <c r="R49" s="11"/>
    </row>
    <row r="50" spans="2:18" ht="36" x14ac:dyDescent="0.45">
      <c r="B50" s="221"/>
      <c r="C50" s="37"/>
      <c r="D50" s="48" t="s">
        <v>92</v>
      </c>
      <c r="E50" s="38" t="s">
        <v>93</v>
      </c>
      <c r="F50" s="152" t="s">
        <v>175</v>
      </c>
      <c r="G50" s="153"/>
      <c r="H50" s="120">
        <f>3.688*$D$3</f>
        <v>368.8</v>
      </c>
      <c r="I50" s="13" t="s">
        <v>96</v>
      </c>
      <c r="O50" s="56"/>
      <c r="P50" s="56"/>
      <c r="Q50" s="3"/>
      <c r="R50" s="11"/>
    </row>
    <row r="51" spans="2:18" ht="19.5" customHeight="1" x14ac:dyDescent="0.45">
      <c r="B51" s="221"/>
      <c r="C51" s="37"/>
      <c r="D51" s="50"/>
      <c r="E51" s="42" t="s">
        <v>23</v>
      </c>
      <c r="F51" s="206" t="s">
        <v>191</v>
      </c>
      <c r="G51" s="207"/>
      <c r="H51" s="120">
        <f>H50*G6*10^-6</f>
        <v>7.3759999999999994</v>
      </c>
      <c r="I51" s="13" t="s">
        <v>43</v>
      </c>
      <c r="O51" s="56"/>
      <c r="P51" s="56"/>
      <c r="Q51" s="3"/>
      <c r="R51" s="11"/>
    </row>
    <row r="52" spans="2:18" ht="19.5" customHeight="1" x14ac:dyDescent="0.45">
      <c r="B52" s="221"/>
      <c r="C52" s="34" t="s">
        <v>97</v>
      </c>
      <c r="D52" s="9" t="s">
        <v>64</v>
      </c>
      <c r="E52" s="45" t="s">
        <v>22</v>
      </c>
      <c r="F52" s="208" t="s">
        <v>192</v>
      </c>
      <c r="G52" s="209"/>
      <c r="H52" s="120">
        <f>0.438*$D$3+117</f>
        <v>160.80000000000001</v>
      </c>
      <c r="I52" s="13" t="s">
        <v>128</v>
      </c>
      <c r="O52" s="56"/>
      <c r="P52" s="56"/>
      <c r="Q52" s="3"/>
      <c r="R52" s="11"/>
    </row>
    <row r="53" spans="2:18" ht="19.5" customHeight="1" x14ac:dyDescent="0.45">
      <c r="B53" s="221"/>
      <c r="C53" s="37"/>
      <c r="D53" s="55" t="s">
        <v>1</v>
      </c>
      <c r="E53" s="45" t="s">
        <v>22</v>
      </c>
      <c r="F53" s="208" t="s">
        <v>193</v>
      </c>
      <c r="G53" s="209"/>
      <c r="H53" s="120">
        <f>9*$D$3+1533</f>
        <v>2433</v>
      </c>
      <c r="I53" s="13" t="s">
        <v>129</v>
      </c>
      <c r="O53" s="56"/>
      <c r="P53" s="56"/>
      <c r="Q53" s="3"/>
      <c r="R53" s="11"/>
    </row>
    <row r="54" spans="2:18" ht="19.5" customHeight="1" x14ac:dyDescent="0.45">
      <c r="B54" s="221"/>
      <c r="C54" s="37"/>
      <c r="D54" s="55" t="s">
        <v>65</v>
      </c>
      <c r="E54" s="45" t="s">
        <v>22</v>
      </c>
      <c r="F54" s="208" t="s">
        <v>194</v>
      </c>
      <c r="G54" s="209"/>
      <c r="H54" s="120">
        <f>1*$D$3+600</f>
        <v>700</v>
      </c>
      <c r="I54" s="13" t="s">
        <v>130</v>
      </c>
      <c r="O54" s="56"/>
      <c r="P54" s="56"/>
      <c r="Q54" s="3"/>
      <c r="R54" s="11"/>
    </row>
    <row r="55" spans="2:18" ht="36" x14ac:dyDescent="0.45">
      <c r="B55" s="221"/>
      <c r="C55" s="37"/>
      <c r="D55" s="48" t="s">
        <v>87</v>
      </c>
      <c r="E55" s="38" t="s">
        <v>88</v>
      </c>
      <c r="F55" s="208" t="s">
        <v>195</v>
      </c>
      <c r="G55" s="209"/>
      <c r="H55" s="120">
        <f>15.26*$D$3+115</f>
        <v>1641</v>
      </c>
      <c r="I55" s="80" t="s">
        <v>90</v>
      </c>
      <c r="O55" s="56"/>
      <c r="P55" s="56"/>
      <c r="Q55" s="3"/>
      <c r="R55" s="11"/>
    </row>
    <row r="56" spans="2:18" ht="19.5" customHeight="1" x14ac:dyDescent="0.45">
      <c r="B56" s="221"/>
      <c r="C56" s="37"/>
      <c r="D56" s="49"/>
      <c r="E56" s="42" t="s">
        <v>23</v>
      </c>
      <c r="F56" s="206" t="s">
        <v>190</v>
      </c>
      <c r="G56" s="207"/>
      <c r="H56" s="120">
        <f>H55*G4*10^-3</f>
        <v>24.615000000000002</v>
      </c>
      <c r="I56" s="13" t="s">
        <v>42</v>
      </c>
      <c r="O56" s="56"/>
      <c r="P56" s="56"/>
      <c r="Q56" s="3"/>
      <c r="R56" s="11"/>
    </row>
    <row r="57" spans="2:18" ht="36" x14ac:dyDescent="0.45">
      <c r="B57" s="221"/>
      <c r="C57" s="37"/>
      <c r="D57" s="48" t="s">
        <v>169</v>
      </c>
      <c r="E57" s="38" t="s">
        <v>99</v>
      </c>
      <c r="F57" s="208" t="s">
        <v>196</v>
      </c>
      <c r="G57" s="209"/>
      <c r="H57" s="120">
        <f>0.252*$D$3+1.439</f>
        <v>26.638999999999999</v>
      </c>
      <c r="I57" s="13" t="s">
        <v>102</v>
      </c>
      <c r="O57" s="56"/>
      <c r="P57" s="56"/>
      <c r="Q57" s="3"/>
      <c r="R57" s="11"/>
    </row>
    <row r="58" spans="2:18" ht="19.5" customHeight="1" x14ac:dyDescent="0.45">
      <c r="B58" s="221"/>
      <c r="C58" s="37"/>
      <c r="D58" s="50"/>
      <c r="E58" s="42" t="s">
        <v>23</v>
      </c>
      <c r="F58" s="206" t="s">
        <v>197</v>
      </c>
      <c r="G58" s="207"/>
      <c r="H58" s="120">
        <f>H57*G7*10^-3</f>
        <v>2.39751</v>
      </c>
      <c r="I58" s="13" t="s">
        <v>44</v>
      </c>
      <c r="O58" s="56"/>
      <c r="P58" s="56"/>
      <c r="Q58" s="3"/>
      <c r="R58" s="11"/>
    </row>
    <row r="59" spans="2:18" ht="36" x14ac:dyDescent="0.45">
      <c r="B59" s="221"/>
      <c r="C59" s="37"/>
      <c r="D59" s="48" t="s">
        <v>168</v>
      </c>
      <c r="E59" s="38" t="s">
        <v>104</v>
      </c>
      <c r="F59" s="152" t="s">
        <v>176</v>
      </c>
      <c r="G59" s="153"/>
      <c r="H59" s="120">
        <f>4.05*$D$3</f>
        <v>405</v>
      </c>
      <c r="I59" s="97" t="s">
        <v>219</v>
      </c>
      <c r="O59" s="56"/>
      <c r="P59" s="56"/>
      <c r="Q59" s="3"/>
      <c r="R59" s="11"/>
    </row>
    <row r="60" spans="2:18" ht="19.5" customHeight="1" x14ac:dyDescent="0.45">
      <c r="B60" s="221"/>
      <c r="C60" s="37"/>
      <c r="D60" s="50"/>
      <c r="E60" s="42" t="s">
        <v>23</v>
      </c>
      <c r="F60" s="194" t="s">
        <v>198</v>
      </c>
      <c r="G60" s="195"/>
      <c r="H60" s="120">
        <f>H59*G8*10^-3</f>
        <v>16.2</v>
      </c>
      <c r="I60" s="98" t="s">
        <v>132</v>
      </c>
      <c r="O60" s="56"/>
      <c r="P60" s="56"/>
      <c r="Q60" s="3"/>
      <c r="R60" s="11"/>
    </row>
    <row r="61" spans="2:18" ht="36" x14ac:dyDescent="0.45">
      <c r="B61" s="221"/>
      <c r="C61" s="37"/>
      <c r="D61" s="48" t="s">
        <v>103</v>
      </c>
      <c r="E61" s="38" t="s">
        <v>107</v>
      </c>
      <c r="F61" s="152" t="s">
        <v>177</v>
      </c>
      <c r="G61" s="153"/>
      <c r="H61" s="120">
        <f>17.101*$D$3</f>
        <v>1710.1</v>
      </c>
      <c r="I61" s="97" t="s">
        <v>90</v>
      </c>
      <c r="O61" s="56"/>
      <c r="P61" s="56"/>
      <c r="Q61" s="3"/>
      <c r="R61" s="11"/>
    </row>
    <row r="62" spans="2:18" ht="19.5" customHeight="1" x14ac:dyDescent="0.45">
      <c r="B62" s="221"/>
      <c r="C62" s="37"/>
      <c r="D62" s="50"/>
      <c r="E62" s="42" t="s">
        <v>23</v>
      </c>
      <c r="F62" s="206" t="s">
        <v>199</v>
      </c>
      <c r="G62" s="207"/>
      <c r="H62" s="120">
        <f>H61*G9*10^-6</f>
        <v>13.6808</v>
      </c>
      <c r="I62" s="13" t="s">
        <v>84</v>
      </c>
      <c r="O62" s="56"/>
      <c r="P62" s="56"/>
      <c r="Q62" s="3"/>
      <c r="R62" s="11"/>
    </row>
    <row r="63" spans="2:18" ht="19.5" customHeight="1" x14ac:dyDescent="0.45">
      <c r="B63" s="221"/>
      <c r="C63" s="34" t="s">
        <v>6</v>
      </c>
      <c r="D63" s="55" t="s">
        <v>1</v>
      </c>
      <c r="E63" s="45" t="s">
        <v>22</v>
      </c>
      <c r="F63" s="208" t="s">
        <v>200</v>
      </c>
      <c r="G63" s="209"/>
      <c r="H63" s="120">
        <f>0.772*$D$3+282</f>
        <v>359.2</v>
      </c>
      <c r="I63" s="13" t="s">
        <v>131</v>
      </c>
      <c r="O63" s="56"/>
      <c r="P63" s="56"/>
      <c r="Q63" s="3"/>
      <c r="R63" s="11"/>
    </row>
    <row r="64" spans="2:18" ht="36" x14ac:dyDescent="0.45">
      <c r="B64" s="221"/>
      <c r="C64" s="37"/>
      <c r="D64" s="48" t="s">
        <v>87</v>
      </c>
      <c r="E64" s="38" t="s">
        <v>88</v>
      </c>
      <c r="F64" s="208" t="s">
        <v>201</v>
      </c>
      <c r="G64" s="209"/>
      <c r="H64" s="120">
        <f>0.32*$D$3+57.44</f>
        <v>89.44</v>
      </c>
      <c r="I64" s="80" t="s">
        <v>90</v>
      </c>
      <c r="O64" s="56"/>
      <c r="P64" s="56"/>
      <c r="Q64" s="3"/>
      <c r="R64" s="11"/>
    </row>
    <row r="65" spans="2:18" ht="19.5" customHeight="1" x14ac:dyDescent="0.45">
      <c r="B65" s="221"/>
      <c r="C65" s="37"/>
      <c r="D65" s="49"/>
      <c r="E65" s="42" t="s">
        <v>23</v>
      </c>
      <c r="F65" s="206" t="s">
        <v>190</v>
      </c>
      <c r="G65" s="207"/>
      <c r="H65" s="120">
        <f>H64*G4*10^-3</f>
        <v>1.3415999999999999</v>
      </c>
      <c r="I65" s="13" t="s">
        <v>133</v>
      </c>
      <c r="O65" s="56"/>
      <c r="P65" s="56"/>
      <c r="Q65" s="3"/>
      <c r="R65" s="11"/>
    </row>
    <row r="66" spans="2:18" ht="36" x14ac:dyDescent="0.45">
      <c r="B66" s="221"/>
      <c r="C66" s="37"/>
      <c r="D66" s="48" t="s">
        <v>113</v>
      </c>
      <c r="E66" s="38" t="s">
        <v>109</v>
      </c>
      <c r="F66" s="208" t="s">
        <v>202</v>
      </c>
      <c r="G66" s="209"/>
      <c r="H66" s="120">
        <f>13.04*$D$3-275.1</f>
        <v>1028.9000000000001</v>
      </c>
      <c r="I66" s="80" t="s">
        <v>90</v>
      </c>
      <c r="O66" s="56"/>
      <c r="P66" s="56"/>
      <c r="Q66" s="3"/>
      <c r="R66" s="11"/>
    </row>
    <row r="67" spans="2:18" ht="19.5" customHeight="1" x14ac:dyDescent="0.45">
      <c r="B67" s="221"/>
      <c r="C67" s="37"/>
      <c r="D67" s="50"/>
      <c r="E67" s="42" t="s">
        <v>23</v>
      </c>
      <c r="F67" s="204" t="s">
        <v>110</v>
      </c>
      <c r="G67" s="205"/>
      <c r="H67" s="120">
        <f>H66*G4*10^-3</f>
        <v>15.433500000000002</v>
      </c>
      <c r="I67" s="6" t="s">
        <v>85</v>
      </c>
      <c r="K67" s="103"/>
      <c r="L67" s="103"/>
      <c r="O67" s="56"/>
      <c r="P67" s="56"/>
      <c r="Q67" s="3"/>
      <c r="R67" s="11"/>
    </row>
    <row r="68" spans="2:18" ht="19.2" customHeight="1" x14ac:dyDescent="0.45">
      <c r="B68" s="221"/>
      <c r="C68" s="155" t="s">
        <v>8</v>
      </c>
      <c r="D68" s="156"/>
      <c r="E68" s="45" t="s">
        <v>22</v>
      </c>
      <c r="F68" s="155" t="s">
        <v>25</v>
      </c>
      <c r="G68" s="156"/>
      <c r="H68" s="120">
        <f>+H45+H52+H53+H54+H63</f>
        <v>4433.8</v>
      </c>
      <c r="I68" s="4" t="s">
        <v>137</v>
      </c>
      <c r="K68" s="103"/>
      <c r="L68" s="103"/>
      <c r="O68" s="56"/>
      <c r="P68" s="56"/>
      <c r="Q68" s="3"/>
      <c r="R68" s="11"/>
    </row>
    <row r="69" spans="2:18" ht="19.2" customHeight="1" x14ac:dyDescent="0.45">
      <c r="B69" s="221"/>
      <c r="C69" s="200" t="s">
        <v>4</v>
      </c>
      <c r="D69" s="201"/>
      <c r="E69" s="158" t="s">
        <v>23</v>
      </c>
      <c r="F69" s="200" t="s">
        <v>51</v>
      </c>
      <c r="G69" s="201"/>
      <c r="H69" s="144">
        <f>+H45*L69/100*(1+L69/100)^L73/((1+L69/100)^L73-1)
+H52*L69/100*(1+L69/100)^L71/((1+L69/100)^L71-1)
+H53*L69/100*(1+L69/100)^L72/((1+L69/100)^L72-1)
+H54*L69/100*(1+L69/100)^L74/((1+L69/100)^L74-1)
+H63*L69/100*(1+L69/100)^L73/((1+L69/100)^L73-1)</f>
        <v>427.00404699352322</v>
      </c>
      <c r="I69" s="212" t="s">
        <v>138</v>
      </c>
      <c r="K69" s="17" t="s">
        <v>55</v>
      </c>
      <c r="L69" s="30">
        <v>2.2999999999999998</v>
      </c>
      <c r="O69" s="56"/>
      <c r="P69" s="56"/>
      <c r="Q69" s="3"/>
      <c r="R69" s="11"/>
    </row>
    <row r="70" spans="2:18" ht="19.5" customHeight="1" x14ac:dyDescent="0.45">
      <c r="B70" s="221"/>
      <c r="C70" s="202"/>
      <c r="D70" s="203"/>
      <c r="E70" s="186"/>
      <c r="F70" s="202"/>
      <c r="G70" s="203"/>
      <c r="H70" s="146"/>
      <c r="I70" s="213"/>
      <c r="K70" s="214" t="s">
        <v>56</v>
      </c>
      <c r="L70" s="214"/>
      <c r="O70" s="56"/>
      <c r="P70" s="56"/>
      <c r="Q70" s="3"/>
      <c r="R70" s="11"/>
    </row>
    <row r="71" spans="2:18" ht="18" customHeight="1" x14ac:dyDescent="0.45">
      <c r="B71" s="221"/>
      <c r="C71" s="59" t="s">
        <v>114</v>
      </c>
      <c r="D71" s="215" t="s">
        <v>116</v>
      </c>
      <c r="E71" s="158" t="s">
        <v>23</v>
      </c>
      <c r="F71" s="217" t="s">
        <v>118</v>
      </c>
      <c r="G71" s="218"/>
      <c r="H71" s="144">
        <f>+H45*0.024+(H52+H53+H54)*0.024+H63*0.013</f>
        <v>102.46000000000001</v>
      </c>
      <c r="I71" s="210" t="s">
        <v>32</v>
      </c>
      <c r="K71" s="20" t="s">
        <v>45</v>
      </c>
      <c r="L71" s="30">
        <v>50</v>
      </c>
      <c r="O71" s="56"/>
      <c r="P71" s="56"/>
      <c r="Q71" s="3"/>
      <c r="R71" s="11"/>
    </row>
    <row r="72" spans="2:18" x14ac:dyDescent="0.45">
      <c r="B72" s="221"/>
      <c r="C72" s="37"/>
      <c r="D72" s="216"/>
      <c r="E72" s="186"/>
      <c r="F72" s="219"/>
      <c r="G72" s="220"/>
      <c r="H72" s="146"/>
      <c r="I72" s="211"/>
      <c r="K72" s="12" t="s">
        <v>70</v>
      </c>
      <c r="L72" s="104">
        <v>10</v>
      </c>
      <c r="O72" s="56"/>
      <c r="P72" s="56"/>
      <c r="Q72" s="26"/>
      <c r="R72" s="11"/>
    </row>
    <row r="73" spans="2:18" ht="19.5" customHeight="1" x14ac:dyDescent="0.45">
      <c r="B73" s="221"/>
      <c r="C73" s="37"/>
      <c r="D73" s="55" t="s">
        <v>115</v>
      </c>
      <c r="E73" s="42" t="s">
        <v>23</v>
      </c>
      <c r="F73" s="204" t="s">
        <v>117</v>
      </c>
      <c r="G73" s="205"/>
      <c r="H73" s="120">
        <f>7*1+4*12</f>
        <v>55</v>
      </c>
      <c r="I73" s="6" t="s">
        <v>33</v>
      </c>
      <c r="K73" s="12" t="s">
        <v>71</v>
      </c>
      <c r="L73" s="104">
        <v>15</v>
      </c>
      <c r="O73" s="56"/>
      <c r="P73" s="56"/>
      <c r="Q73" s="3"/>
      <c r="R73" s="11"/>
    </row>
    <row r="74" spans="2:18" ht="19.5" customHeight="1" x14ac:dyDescent="0.45">
      <c r="B74" s="221"/>
      <c r="C74" s="138" t="s">
        <v>79</v>
      </c>
      <c r="D74" s="139"/>
      <c r="E74" s="158" t="s">
        <v>23</v>
      </c>
      <c r="F74" s="200" t="s">
        <v>25</v>
      </c>
      <c r="G74" s="201"/>
      <c r="H74" s="144">
        <f>H47+H49+H51+H56+H58+H60+H62+H65+H71+H73-H67</f>
        <v>240.41840999999999</v>
      </c>
      <c r="I74" s="210" t="s">
        <v>139</v>
      </c>
      <c r="K74" s="20" t="s">
        <v>7</v>
      </c>
      <c r="L74" s="30">
        <v>15</v>
      </c>
      <c r="O74" s="56"/>
      <c r="P74" s="56"/>
      <c r="Q74" s="3"/>
      <c r="R74" s="11"/>
    </row>
    <row r="75" spans="2:18" ht="19.5" customHeight="1" x14ac:dyDescent="0.45">
      <c r="B75" s="221"/>
      <c r="C75" s="142"/>
      <c r="D75" s="143"/>
      <c r="E75" s="186"/>
      <c r="F75" s="202"/>
      <c r="G75" s="203"/>
      <c r="H75" s="146"/>
      <c r="I75" s="211"/>
      <c r="K75" s="19"/>
      <c r="L75" s="19"/>
      <c r="O75" s="56"/>
      <c r="P75" s="28"/>
      <c r="Q75" s="3"/>
      <c r="R75" s="11"/>
    </row>
    <row r="76" spans="2:18" ht="19.5" customHeight="1" x14ac:dyDescent="0.45">
      <c r="B76" s="221"/>
      <c r="C76" s="155" t="s">
        <v>80</v>
      </c>
      <c r="D76" s="156"/>
      <c r="E76" s="45" t="s">
        <v>23</v>
      </c>
      <c r="F76" s="155" t="s">
        <v>81</v>
      </c>
      <c r="G76" s="156"/>
      <c r="H76" s="124">
        <f>H69*0.1</f>
        <v>42.700404699352326</v>
      </c>
      <c r="I76" s="49" t="s">
        <v>142</v>
      </c>
      <c r="O76" s="28"/>
      <c r="Q76" s="3"/>
      <c r="R76" s="11"/>
    </row>
    <row r="77" spans="2:18" ht="19.5" customHeight="1" x14ac:dyDescent="0.45">
      <c r="B77" s="221"/>
      <c r="C77" s="196" t="s">
        <v>54</v>
      </c>
      <c r="D77" s="197"/>
      <c r="E77" s="158" t="s">
        <v>23</v>
      </c>
      <c r="F77" s="200" t="s">
        <v>25</v>
      </c>
      <c r="G77" s="201"/>
      <c r="H77" s="144">
        <f>H69+H74+H76</f>
        <v>710.12286169287552</v>
      </c>
      <c r="I77" s="187" t="s">
        <v>143</v>
      </c>
      <c r="K77" s="11"/>
      <c r="L77" s="11"/>
    </row>
    <row r="78" spans="2:18" ht="19.5" customHeight="1" x14ac:dyDescent="0.45">
      <c r="B78" s="221"/>
      <c r="C78" s="198"/>
      <c r="D78" s="199"/>
      <c r="E78" s="186"/>
      <c r="F78" s="202"/>
      <c r="G78" s="203"/>
      <c r="H78" s="146"/>
      <c r="I78" s="188"/>
      <c r="K78" s="11"/>
      <c r="L78" s="11"/>
    </row>
    <row r="79" spans="2:18" ht="39" customHeight="1" x14ac:dyDescent="0.45">
      <c r="B79" s="131" t="s">
        <v>35</v>
      </c>
      <c r="C79" s="132"/>
      <c r="D79" s="189"/>
      <c r="E79" s="15" t="s">
        <v>34</v>
      </c>
      <c r="F79" s="155" t="s">
        <v>25</v>
      </c>
      <c r="G79" s="156"/>
      <c r="H79" s="232">
        <f>1-H77/H43</f>
        <v>0.30631845623765963</v>
      </c>
      <c r="I79" s="6" t="s">
        <v>144</v>
      </c>
    </row>
    <row r="80" spans="2:18" ht="19.5" customHeight="1" x14ac:dyDescent="0.45">
      <c r="H80" s="105"/>
    </row>
    <row r="81" spans="2:16" ht="32.4" x14ac:dyDescent="0.45">
      <c r="B81" s="7" t="s">
        <v>16</v>
      </c>
      <c r="H81" s="105"/>
    </row>
    <row r="82" spans="2:16" ht="19.5" customHeight="1" x14ac:dyDescent="0.45">
      <c r="B82" s="157" t="s">
        <v>12</v>
      </c>
      <c r="C82" s="157"/>
      <c r="D82" s="157"/>
      <c r="E82" s="45" t="s">
        <v>15</v>
      </c>
      <c r="F82" s="155" t="s">
        <v>27</v>
      </c>
      <c r="G82" s="156"/>
      <c r="H82" s="106" t="s">
        <v>31</v>
      </c>
      <c r="I82" s="45" t="s">
        <v>26</v>
      </c>
    </row>
    <row r="83" spans="2:16" ht="19.5" customHeight="1" x14ac:dyDescent="0.45">
      <c r="B83" s="159" t="s">
        <v>0</v>
      </c>
      <c r="C83" s="176"/>
      <c r="D83" s="53" t="s">
        <v>145</v>
      </c>
      <c r="E83" s="12" t="s">
        <v>159</v>
      </c>
      <c r="F83" s="152" t="s">
        <v>213</v>
      </c>
      <c r="G83" s="153"/>
      <c r="H83" s="118">
        <f>D10</f>
        <v>642.4</v>
      </c>
      <c r="I83" s="62" t="s">
        <v>222</v>
      </c>
    </row>
    <row r="84" spans="2:16" ht="19.5" customHeight="1" x14ac:dyDescent="0.45">
      <c r="B84" s="161"/>
      <c r="C84" s="164"/>
      <c r="D84" s="47" t="s">
        <v>146</v>
      </c>
      <c r="E84" s="12" t="s">
        <v>159</v>
      </c>
      <c r="F84" s="152" t="s">
        <v>220</v>
      </c>
      <c r="G84" s="153"/>
      <c r="H84" s="118">
        <f>D11</f>
        <v>2788.6</v>
      </c>
      <c r="I84" s="62" t="s">
        <v>147</v>
      </c>
    </row>
    <row r="85" spans="2:16" ht="18.75" customHeight="1" x14ac:dyDescent="0.45">
      <c r="B85" s="161"/>
      <c r="C85" s="162"/>
      <c r="D85" s="175" t="s">
        <v>46</v>
      </c>
      <c r="E85" s="51" t="s">
        <v>208</v>
      </c>
      <c r="F85" s="190" t="s">
        <v>221</v>
      </c>
      <c r="G85" s="191"/>
      <c r="H85" s="144">
        <f>D13</f>
        <v>517</v>
      </c>
      <c r="I85" s="171"/>
      <c r="K85" s="51" t="s">
        <v>238</v>
      </c>
      <c r="L85" s="173">
        <f>G12</f>
        <v>39.1</v>
      </c>
    </row>
    <row r="86" spans="2:16" x14ac:dyDescent="0.45">
      <c r="B86" s="161"/>
      <c r="C86" s="162"/>
      <c r="D86" s="163"/>
      <c r="E86" s="83" t="str">
        <f>IF($D$12="","",VLOOKUP($D$12,$P$9:$U$12,6,FALSE))</f>
        <v>(kL/年）</v>
      </c>
      <c r="F86" s="192"/>
      <c r="G86" s="193"/>
      <c r="H86" s="146"/>
      <c r="I86" s="172"/>
      <c r="K86" s="83" t="str">
        <f>IF($D$12="","",VLOOKUP($D$12,$P$9:$V$12,7,FALSE))</f>
        <v>(MJ/L)</v>
      </c>
      <c r="L86" s="174"/>
    </row>
    <row r="87" spans="2:16" x14ac:dyDescent="0.45">
      <c r="B87" s="163"/>
      <c r="C87" s="162"/>
      <c r="D87" s="179"/>
      <c r="E87" s="75" t="s">
        <v>159</v>
      </c>
      <c r="F87" s="152" t="s">
        <v>163</v>
      </c>
      <c r="G87" s="153"/>
      <c r="H87" s="118">
        <f>H85*L85*L87</f>
        <v>2131.4581827000002</v>
      </c>
      <c r="I87" s="13" t="s">
        <v>148</v>
      </c>
      <c r="K87" s="111" t="s">
        <v>150</v>
      </c>
      <c r="L87" s="112">
        <v>0.10544100000000001</v>
      </c>
    </row>
    <row r="88" spans="2:16" ht="19.5" customHeight="1" x14ac:dyDescent="0.45">
      <c r="B88" s="165"/>
      <c r="C88" s="166"/>
      <c r="D88" s="72" t="s">
        <v>3</v>
      </c>
      <c r="E88" s="12" t="s">
        <v>159</v>
      </c>
      <c r="F88" s="152" t="s">
        <v>25</v>
      </c>
      <c r="G88" s="153"/>
      <c r="H88" s="118">
        <f>H83+H84+H87</f>
        <v>5562.4581827000002</v>
      </c>
      <c r="I88" s="13" t="s">
        <v>149</v>
      </c>
    </row>
    <row r="89" spans="2:16" ht="19.5" customHeight="1" x14ac:dyDescent="0.45">
      <c r="B89" s="175" t="s">
        <v>5</v>
      </c>
      <c r="C89" s="176"/>
      <c r="D89" s="53" t="s">
        <v>145</v>
      </c>
      <c r="E89" s="12" t="s">
        <v>159</v>
      </c>
      <c r="F89" s="167" t="s">
        <v>89</v>
      </c>
      <c r="G89" s="168"/>
      <c r="H89" s="118">
        <f>H46</f>
        <v>465.4</v>
      </c>
      <c r="I89" s="13" t="s">
        <v>156</v>
      </c>
    </row>
    <row r="90" spans="2:16" ht="19.5" customHeight="1" x14ac:dyDescent="0.45">
      <c r="B90" s="163"/>
      <c r="C90" s="164"/>
      <c r="D90" s="53" t="s">
        <v>146</v>
      </c>
      <c r="E90" s="12" t="s">
        <v>159</v>
      </c>
      <c r="F90" s="167" t="s">
        <v>98</v>
      </c>
      <c r="G90" s="168"/>
      <c r="H90" s="118">
        <f>H55</f>
        <v>1641</v>
      </c>
      <c r="I90" s="62" t="s">
        <v>155</v>
      </c>
    </row>
    <row r="91" spans="2:16" ht="19.5" customHeight="1" x14ac:dyDescent="0.45">
      <c r="B91" s="163"/>
      <c r="C91" s="164"/>
      <c r="D91" s="53" t="s">
        <v>151</v>
      </c>
      <c r="E91" s="12" t="s">
        <v>159</v>
      </c>
      <c r="F91" s="167" t="s">
        <v>111</v>
      </c>
      <c r="G91" s="168"/>
      <c r="H91" s="118">
        <f>H64</f>
        <v>89.44</v>
      </c>
      <c r="I91" s="13" t="s">
        <v>154</v>
      </c>
    </row>
    <row r="92" spans="2:16" x14ac:dyDescent="0.45">
      <c r="B92" s="163"/>
      <c r="C92" s="164"/>
      <c r="D92" s="177" t="s">
        <v>46</v>
      </c>
      <c r="E92" s="127" t="s">
        <v>99</v>
      </c>
      <c r="F92" s="180" t="s">
        <v>100</v>
      </c>
      <c r="G92" s="181"/>
      <c r="H92" s="144">
        <f>H57</f>
        <v>26.638999999999999</v>
      </c>
      <c r="I92" s="184"/>
      <c r="K92" s="127" t="s">
        <v>237</v>
      </c>
      <c r="L92" s="158">
        <v>39.1</v>
      </c>
    </row>
    <row r="93" spans="2:16" s="110" customFormat="1" x14ac:dyDescent="0.45">
      <c r="B93" s="163"/>
      <c r="C93" s="164"/>
      <c r="D93" s="178"/>
      <c r="E93" s="128"/>
      <c r="F93" s="182"/>
      <c r="G93" s="183"/>
      <c r="H93" s="146"/>
      <c r="I93" s="185"/>
      <c r="K93" s="128"/>
      <c r="L93" s="186"/>
    </row>
    <row r="94" spans="2:16" ht="19.5" customHeight="1" x14ac:dyDescent="0.45">
      <c r="B94" s="163"/>
      <c r="C94" s="164"/>
      <c r="D94" s="179"/>
      <c r="E94" s="12" t="s">
        <v>159</v>
      </c>
      <c r="F94" s="152" t="s">
        <v>163</v>
      </c>
      <c r="G94" s="153"/>
      <c r="H94" s="118">
        <f>H92*L92*L94</f>
        <v>109.82575344090002</v>
      </c>
      <c r="I94" s="13" t="s">
        <v>153</v>
      </c>
      <c r="K94" s="113" t="s">
        <v>150</v>
      </c>
      <c r="L94" s="112">
        <v>0.10544100000000001</v>
      </c>
    </row>
    <row r="95" spans="2:16" ht="19.5" customHeight="1" x14ac:dyDescent="0.45">
      <c r="B95" s="163"/>
      <c r="C95" s="164"/>
      <c r="D95" s="20" t="s">
        <v>3</v>
      </c>
      <c r="E95" s="12" t="s">
        <v>159</v>
      </c>
      <c r="F95" s="152" t="s">
        <v>25</v>
      </c>
      <c r="G95" s="153"/>
      <c r="H95" s="118">
        <f>H89+H90+H91+H94</f>
        <v>2305.6657534409001</v>
      </c>
      <c r="I95" s="13" t="s">
        <v>152</v>
      </c>
      <c r="P95" s="1"/>
    </row>
    <row r="96" spans="2:16" ht="19.5" customHeight="1" x14ac:dyDescent="0.45">
      <c r="B96" s="165"/>
      <c r="C96" s="166"/>
      <c r="D96" s="53" t="s">
        <v>17</v>
      </c>
      <c r="E96" s="12" t="s">
        <v>159</v>
      </c>
      <c r="F96" s="167" t="s">
        <v>112</v>
      </c>
      <c r="G96" s="168"/>
      <c r="H96" s="118">
        <f>H66</f>
        <v>1028.9000000000001</v>
      </c>
      <c r="I96" s="13" t="s">
        <v>157</v>
      </c>
    </row>
    <row r="97" spans="2:12" ht="39" customHeight="1" x14ac:dyDescent="0.45">
      <c r="B97" s="169" t="s">
        <v>16</v>
      </c>
      <c r="C97" s="170"/>
      <c r="D97" s="170"/>
      <c r="E97" s="33" t="s">
        <v>34</v>
      </c>
      <c r="F97" s="152" t="s">
        <v>25</v>
      </c>
      <c r="G97" s="153"/>
      <c r="H97" s="233">
        <f>1-(H95-H96)/H88</f>
        <v>0.77046735247164377</v>
      </c>
      <c r="I97" s="13" t="s">
        <v>158</v>
      </c>
    </row>
    <row r="98" spans="2:12" ht="19.5" customHeight="1" x14ac:dyDescent="0.45">
      <c r="H98" s="105"/>
    </row>
    <row r="99" spans="2:12" ht="33" customHeight="1" x14ac:dyDescent="0.45">
      <c r="B99" s="7" t="s">
        <v>18</v>
      </c>
      <c r="H99" s="105"/>
    </row>
    <row r="100" spans="2:12" ht="19.5" customHeight="1" x14ac:dyDescent="0.45">
      <c r="B100" s="157" t="s">
        <v>12</v>
      </c>
      <c r="C100" s="157"/>
      <c r="D100" s="158"/>
      <c r="E100" s="45" t="s">
        <v>15</v>
      </c>
      <c r="F100" s="155" t="s">
        <v>27</v>
      </c>
      <c r="G100" s="156"/>
      <c r="H100" s="106" t="s">
        <v>19</v>
      </c>
      <c r="I100" s="45" t="s">
        <v>10</v>
      </c>
    </row>
    <row r="101" spans="2:12" ht="19.5" customHeight="1" x14ac:dyDescent="0.45">
      <c r="B101" s="159" t="s">
        <v>0</v>
      </c>
      <c r="C101" s="160"/>
      <c r="D101" s="48" t="s">
        <v>20</v>
      </c>
      <c r="E101" s="64" t="s">
        <v>159</v>
      </c>
      <c r="F101" s="155" t="s">
        <v>160</v>
      </c>
      <c r="G101" s="156"/>
      <c r="H101" s="118">
        <f>H83+H84</f>
        <v>3431</v>
      </c>
      <c r="I101" s="13" t="s">
        <v>161</v>
      </c>
      <c r="K101" s="125" t="s">
        <v>256</v>
      </c>
      <c r="L101" s="228">
        <v>0.55000000000000004</v>
      </c>
    </row>
    <row r="102" spans="2:12" ht="19.2" x14ac:dyDescent="0.45">
      <c r="B102" s="161"/>
      <c r="C102" s="162"/>
      <c r="D102" s="44"/>
      <c r="E102" s="38" t="s">
        <v>30</v>
      </c>
      <c r="F102" s="155" t="s">
        <v>244</v>
      </c>
      <c r="G102" s="156"/>
      <c r="H102" s="118">
        <f>H101*L101</f>
        <v>1887.0500000000002</v>
      </c>
      <c r="I102" s="55" t="s">
        <v>165</v>
      </c>
      <c r="K102" s="125"/>
      <c r="L102" s="228"/>
    </row>
    <row r="103" spans="2:12" ht="39.75" customHeight="1" x14ac:dyDescent="0.45">
      <c r="B103" s="163"/>
      <c r="C103" s="164"/>
      <c r="D103" s="65" t="s">
        <v>37</v>
      </c>
      <c r="E103" s="52" t="s">
        <v>57</v>
      </c>
      <c r="F103" s="150" t="s">
        <v>243</v>
      </c>
      <c r="G103" s="156"/>
      <c r="H103" s="118">
        <f>H85*L103</f>
        <v>1401.07</v>
      </c>
      <c r="I103" s="61" t="s">
        <v>166</v>
      </c>
      <c r="K103" s="5" t="s">
        <v>242</v>
      </c>
      <c r="L103" s="71">
        <f>G13</f>
        <v>2.71</v>
      </c>
    </row>
    <row r="104" spans="2:12" ht="38.4" x14ac:dyDescent="0.45">
      <c r="B104" s="163"/>
      <c r="C104" s="162"/>
      <c r="D104" s="67" t="s">
        <v>58</v>
      </c>
      <c r="E104" s="69" t="s">
        <v>225</v>
      </c>
      <c r="F104" s="150" t="s">
        <v>241</v>
      </c>
      <c r="G104" s="156"/>
      <c r="H104" s="118">
        <f>D8*L104*10^-3</f>
        <v>18.834</v>
      </c>
      <c r="I104" s="55"/>
      <c r="K104" s="76" t="s">
        <v>250</v>
      </c>
      <c r="L104" s="77">
        <v>0.64500000000000002</v>
      </c>
    </row>
    <row r="105" spans="2:12" ht="37.200000000000003" x14ac:dyDescent="0.45">
      <c r="B105" s="163"/>
      <c r="C105" s="162"/>
      <c r="D105" s="68"/>
      <c r="E105" s="70" t="s">
        <v>57</v>
      </c>
      <c r="F105" s="155" t="s">
        <v>164</v>
      </c>
      <c r="G105" s="156"/>
      <c r="H105" s="118">
        <f>H104*L105</f>
        <v>5612.5320000000002</v>
      </c>
      <c r="I105" s="61" t="s">
        <v>167</v>
      </c>
      <c r="K105" s="5" t="s">
        <v>248</v>
      </c>
      <c r="L105" s="71">
        <v>298</v>
      </c>
    </row>
    <row r="106" spans="2:12" ht="36" x14ac:dyDescent="0.45">
      <c r="B106" s="163"/>
      <c r="C106" s="162"/>
      <c r="D106" s="13" t="s">
        <v>162</v>
      </c>
      <c r="E106" s="108" t="s">
        <v>57</v>
      </c>
      <c r="F106" s="138" t="s">
        <v>252</v>
      </c>
      <c r="G106" s="139"/>
      <c r="H106" s="119">
        <f>D8*(1-D5/100)*0.005*L106+D8*0.661/100*L107</f>
        <v>408.80525599999999</v>
      </c>
      <c r="I106" s="109" t="s">
        <v>178</v>
      </c>
      <c r="K106" s="5" t="s">
        <v>245</v>
      </c>
      <c r="L106" s="71">
        <v>6.5</v>
      </c>
    </row>
    <row r="107" spans="2:12" ht="18.75" customHeight="1" x14ac:dyDescent="0.45">
      <c r="B107" s="163"/>
      <c r="C107" s="162"/>
      <c r="D107" s="66" t="s">
        <v>170</v>
      </c>
      <c r="E107" s="70" t="s">
        <v>57</v>
      </c>
      <c r="F107" s="150" t="s">
        <v>171</v>
      </c>
      <c r="G107" s="151"/>
      <c r="H107" s="120">
        <f>(H102+H103+H106)*0.2469</f>
        <v>912.7708457064</v>
      </c>
      <c r="I107" s="61" t="s">
        <v>173</v>
      </c>
      <c r="K107" s="125" t="s">
        <v>246</v>
      </c>
      <c r="L107" s="126">
        <v>0.93799999999999994</v>
      </c>
    </row>
    <row r="108" spans="2:12" ht="19.5" customHeight="1" x14ac:dyDescent="0.45">
      <c r="B108" s="165"/>
      <c r="C108" s="166"/>
      <c r="D108" s="14" t="s">
        <v>3</v>
      </c>
      <c r="E108" s="70" t="s">
        <v>57</v>
      </c>
      <c r="F108" s="152" t="s">
        <v>25</v>
      </c>
      <c r="G108" s="153"/>
      <c r="H108" s="118">
        <f>H102+H103+H105+H106+H107</f>
        <v>10222.2281017064</v>
      </c>
      <c r="I108" s="55" t="s">
        <v>172</v>
      </c>
      <c r="K108" s="125"/>
      <c r="L108" s="126"/>
    </row>
    <row r="109" spans="2:12" ht="19.5" customHeight="1" x14ac:dyDescent="0.45">
      <c r="B109" s="154" t="s">
        <v>5</v>
      </c>
      <c r="C109" s="154"/>
      <c r="D109" s="48" t="s">
        <v>20</v>
      </c>
      <c r="E109" s="64" t="s">
        <v>159</v>
      </c>
      <c r="F109" s="155" t="s">
        <v>180</v>
      </c>
      <c r="G109" s="156"/>
      <c r="H109" s="118">
        <f>H89+H90+H91</f>
        <v>2195.84</v>
      </c>
      <c r="I109" s="55" t="s">
        <v>179</v>
      </c>
    </row>
    <row r="110" spans="2:12" ht="19.5" customHeight="1" x14ac:dyDescent="0.45">
      <c r="B110" s="154"/>
      <c r="C110" s="154"/>
      <c r="D110" s="44"/>
      <c r="E110" s="38" t="s">
        <v>30</v>
      </c>
      <c r="F110" s="155" t="s">
        <v>244</v>
      </c>
      <c r="G110" s="156"/>
      <c r="H110" s="118">
        <f>H109*L101</f>
        <v>1207.7120000000002</v>
      </c>
      <c r="I110" s="78" t="s">
        <v>184</v>
      </c>
      <c r="K110" s="125" t="s">
        <v>247</v>
      </c>
      <c r="L110" s="126">
        <v>2.71</v>
      </c>
    </row>
    <row r="111" spans="2:12" ht="19.2" x14ac:dyDescent="0.45">
      <c r="B111" s="154"/>
      <c r="C111" s="154"/>
      <c r="D111" s="65" t="s">
        <v>37</v>
      </c>
      <c r="E111" s="52" t="s">
        <v>57</v>
      </c>
      <c r="F111" s="150" t="s">
        <v>253</v>
      </c>
      <c r="G111" s="156"/>
      <c r="H111" s="118">
        <f>H92*L110</f>
        <v>72.191689999999994</v>
      </c>
      <c r="I111" s="78" t="s">
        <v>185</v>
      </c>
      <c r="K111" s="125"/>
      <c r="L111" s="126"/>
    </row>
    <row r="112" spans="2:12" ht="38.4" x14ac:dyDescent="0.45">
      <c r="B112" s="154"/>
      <c r="C112" s="154"/>
      <c r="D112" s="67" t="s">
        <v>58</v>
      </c>
      <c r="E112" s="69" t="s">
        <v>225</v>
      </c>
      <c r="F112" s="150" t="s">
        <v>241</v>
      </c>
      <c r="G112" s="156"/>
      <c r="H112" s="118">
        <f>D8*L112*10^-3</f>
        <v>6.2195999999999998</v>
      </c>
      <c r="I112" s="78"/>
      <c r="K112" s="76" t="s">
        <v>249</v>
      </c>
      <c r="L112" s="77">
        <v>0.21299999999999999</v>
      </c>
    </row>
    <row r="113" spans="2:18" ht="19.5" customHeight="1" x14ac:dyDescent="0.45">
      <c r="B113" s="154"/>
      <c r="C113" s="154"/>
      <c r="D113" s="68"/>
      <c r="E113" s="70" t="s">
        <v>57</v>
      </c>
      <c r="F113" s="155" t="s">
        <v>164</v>
      </c>
      <c r="G113" s="156"/>
      <c r="H113" s="118">
        <f>H112*L105</f>
        <v>1853.4407999999999</v>
      </c>
      <c r="I113" s="78" t="s">
        <v>186</v>
      </c>
      <c r="K113" s="107"/>
      <c r="L113" s="73"/>
    </row>
    <row r="114" spans="2:18" ht="19.5" customHeight="1" x14ac:dyDescent="0.45">
      <c r="B114" s="154"/>
      <c r="C114" s="154"/>
      <c r="D114" s="67" t="s">
        <v>162</v>
      </c>
      <c r="E114" s="135" t="s">
        <v>57</v>
      </c>
      <c r="F114" s="138" t="s">
        <v>254</v>
      </c>
      <c r="G114" s="139"/>
      <c r="H114" s="144">
        <f>H48*L106+H50*L114+H59*L116</f>
        <v>529.10624000000007</v>
      </c>
      <c r="I114" s="147" t="s">
        <v>187</v>
      </c>
      <c r="K114" s="127" t="s">
        <v>251</v>
      </c>
      <c r="L114" s="129">
        <v>3.0800000000000001E-2</v>
      </c>
    </row>
    <row r="115" spans="2:18" ht="19.5" customHeight="1" x14ac:dyDescent="0.45">
      <c r="B115" s="154"/>
      <c r="C115" s="154"/>
      <c r="D115" s="68"/>
      <c r="E115" s="136"/>
      <c r="F115" s="140"/>
      <c r="G115" s="141"/>
      <c r="H115" s="145"/>
      <c r="I115" s="148"/>
      <c r="K115" s="128"/>
      <c r="L115" s="130"/>
    </row>
    <row r="116" spans="2:18" ht="19.5" customHeight="1" x14ac:dyDescent="0.45">
      <c r="B116" s="154"/>
      <c r="C116" s="154"/>
      <c r="D116" s="66"/>
      <c r="E116" s="137"/>
      <c r="F116" s="142"/>
      <c r="G116" s="143"/>
      <c r="H116" s="146"/>
      <c r="I116" s="149"/>
      <c r="K116" s="125" t="s">
        <v>265</v>
      </c>
      <c r="L116" s="126">
        <f>0.938*0.48</f>
        <v>0.45023999999999997</v>
      </c>
    </row>
    <row r="117" spans="2:18" ht="19.5" customHeight="1" x14ac:dyDescent="0.45">
      <c r="B117" s="154"/>
      <c r="C117" s="154"/>
      <c r="D117" s="66" t="s">
        <v>170</v>
      </c>
      <c r="E117" s="70" t="s">
        <v>57</v>
      </c>
      <c r="F117" s="150" t="s">
        <v>171</v>
      </c>
      <c r="G117" s="151"/>
      <c r="H117" s="121">
        <f>(H110+H111+H114)*0.2469</f>
        <v>446.64455171700007</v>
      </c>
      <c r="I117" s="74" t="s">
        <v>188</v>
      </c>
      <c r="K117" s="125"/>
      <c r="L117" s="126"/>
    </row>
    <row r="118" spans="2:18" ht="19.5" customHeight="1" x14ac:dyDescent="0.45">
      <c r="B118" s="154"/>
      <c r="C118" s="154"/>
      <c r="D118" s="14" t="s">
        <v>3</v>
      </c>
      <c r="E118" s="70" t="s">
        <v>57</v>
      </c>
      <c r="F118" s="152" t="s">
        <v>25</v>
      </c>
      <c r="G118" s="153"/>
      <c r="H118" s="118">
        <f>H110+H111+H113+H114+H117</f>
        <v>4109.095281717</v>
      </c>
      <c r="I118" s="79" t="s">
        <v>183</v>
      </c>
      <c r="Q118" s="2"/>
      <c r="R118" s="1"/>
    </row>
    <row r="119" spans="2:18" ht="19.5" customHeight="1" x14ac:dyDescent="0.45">
      <c r="B119" s="154"/>
      <c r="C119" s="154"/>
      <c r="D119" s="55" t="s">
        <v>21</v>
      </c>
      <c r="E119" s="5" t="s">
        <v>30</v>
      </c>
      <c r="F119" s="155" t="s">
        <v>255</v>
      </c>
      <c r="G119" s="156"/>
      <c r="H119" s="121">
        <f>H96*L101</f>
        <v>565.8950000000001</v>
      </c>
      <c r="I119" s="79" t="s">
        <v>181</v>
      </c>
    </row>
    <row r="120" spans="2:18" ht="39" customHeight="1" x14ac:dyDescent="0.45">
      <c r="B120" s="131" t="s">
        <v>18</v>
      </c>
      <c r="C120" s="132"/>
      <c r="D120" s="132"/>
      <c r="E120" s="15" t="s">
        <v>34</v>
      </c>
      <c r="F120" s="133" t="s">
        <v>25</v>
      </c>
      <c r="G120" s="134"/>
      <c r="H120" s="234">
        <f>1-(H118-H119)/H108</f>
        <v>0.65338278049914256</v>
      </c>
      <c r="I120" s="13" t="s">
        <v>182</v>
      </c>
    </row>
    <row r="121" spans="2:18" x14ac:dyDescent="0.45">
      <c r="I121" s="28"/>
    </row>
  </sheetData>
  <mergeCells count="164">
    <mergeCell ref="K101:K102"/>
    <mergeCell ref="L101:L102"/>
    <mergeCell ref="K107:K108"/>
    <mergeCell ref="L107:L108"/>
    <mergeCell ref="K110:K111"/>
    <mergeCell ref="L110:L111"/>
    <mergeCell ref="B2:D2"/>
    <mergeCell ref="F2:G2"/>
    <mergeCell ref="B3:C3"/>
    <mergeCell ref="B4:C4"/>
    <mergeCell ref="B5:C5"/>
    <mergeCell ref="B6:C6"/>
    <mergeCell ref="E38:E39"/>
    <mergeCell ref="F38:G39"/>
    <mergeCell ref="H38:H39"/>
    <mergeCell ref="I38:I39"/>
    <mergeCell ref="C43:D44"/>
    <mergeCell ref="E43:E44"/>
    <mergeCell ref="F43:G44"/>
    <mergeCell ref="H43:H44"/>
    <mergeCell ref="I43:I44"/>
    <mergeCell ref="B45:B78"/>
    <mergeCell ref="R27:R28"/>
    <mergeCell ref="F29:G29"/>
    <mergeCell ref="O28:O36"/>
    <mergeCell ref="F30:G30"/>
    <mergeCell ref="F31:G31"/>
    <mergeCell ref="B7:C7"/>
    <mergeCell ref="B8:C8"/>
    <mergeCell ref="Q8:R8"/>
    <mergeCell ref="B10:C10"/>
    <mergeCell ref="S8:T8"/>
    <mergeCell ref="B9:C9"/>
    <mergeCell ref="B11:C11"/>
    <mergeCell ref="K39:L39"/>
    <mergeCell ref="F32:G32"/>
    <mergeCell ref="F33:G33"/>
    <mergeCell ref="F34:G34"/>
    <mergeCell ref="F35:G35"/>
    <mergeCell ref="F36:G36"/>
    <mergeCell ref="C37:D37"/>
    <mergeCell ref="F37:G37"/>
    <mergeCell ref="B12:C12"/>
    <mergeCell ref="B13:C13"/>
    <mergeCell ref="F27:G27"/>
    <mergeCell ref="B28:B44"/>
    <mergeCell ref="F28:G28"/>
    <mergeCell ref="C40:D41"/>
    <mergeCell ref="E40:E41"/>
    <mergeCell ref="F40:G41"/>
    <mergeCell ref="H40:H41"/>
    <mergeCell ref="I40:I41"/>
    <mergeCell ref="C42:D42"/>
    <mergeCell ref="F42:G42"/>
    <mergeCell ref="C38:D39"/>
    <mergeCell ref="F45:G45"/>
    <mergeCell ref="F46:G46"/>
    <mergeCell ref="F47:G47"/>
    <mergeCell ref="F48:G48"/>
    <mergeCell ref="F55:G55"/>
    <mergeCell ref="F56:G56"/>
    <mergeCell ref="F57:G57"/>
    <mergeCell ref="F58:G58"/>
    <mergeCell ref="F59:G59"/>
    <mergeCell ref="F49:G49"/>
    <mergeCell ref="F50:G50"/>
    <mergeCell ref="F51:G51"/>
    <mergeCell ref="F52:G52"/>
    <mergeCell ref="F53:G53"/>
    <mergeCell ref="F54:G54"/>
    <mergeCell ref="I74:I75"/>
    <mergeCell ref="H69:H70"/>
    <mergeCell ref="I69:I70"/>
    <mergeCell ref="K70:L70"/>
    <mergeCell ref="D71:D72"/>
    <mergeCell ref="E71:E72"/>
    <mergeCell ref="F71:G72"/>
    <mergeCell ref="H71:H72"/>
    <mergeCell ref="I71:I72"/>
    <mergeCell ref="C69:D70"/>
    <mergeCell ref="E69:E70"/>
    <mergeCell ref="F69:G70"/>
    <mergeCell ref="F60:G60"/>
    <mergeCell ref="C76:D76"/>
    <mergeCell ref="F76:G76"/>
    <mergeCell ref="C77:D78"/>
    <mergeCell ref="E77:E78"/>
    <mergeCell ref="F77:G78"/>
    <mergeCell ref="H77:H78"/>
    <mergeCell ref="F73:G73"/>
    <mergeCell ref="C74:D75"/>
    <mergeCell ref="E74:E75"/>
    <mergeCell ref="F74:G75"/>
    <mergeCell ref="H74:H75"/>
    <mergeCell ref="F67:G67"/>
    <mergeCell ref="C68:D68"/>
    <mergeCell ref="F68:G68"/>
    <mergeCell ref="F61:G61"/>
    <mergeCell ref="F62:G62"/>
    <mergeCell ref="F63:G63"/>
    <mergeCell ref="F64:G64"/>
    <mergeCell ref="F65:G65"/>
    <mergeCell ref="F66:G66"/>
    <mergeCell ref="I77:I78"/>
    <mergeCell ref="B79:D79"/>
    <mergeCell ref="F79:G79"/>
    <mergeCell ref="B82:D82"/>
    <mergeCell ref="F82:G82"/>
    <mergeCell ref="B83:C88"/>
    <mergeCell ref="F83:G83"/>
    <mergeCell ref="F84:G84"/>
    <mergeCell ref="D85:D87"/>
    <mergeCell ref="F85:G86"/>
    <mergeCell ref="F94:G94"/>
    <mergeCell ref="F95:G95"/>
    <mergeCell ref="F96:G96"/>
    <mergeCell ref="B97:D97"/>
    <mergeCell ref="F97:G97"/>
    <mergeCell ref="H85:H86"/>
    <mergeCell ref="I85:I86"/>
    <mergeCell ref="L85:L86"/>
    <mergeCell ref="F87:G87"/>
    <mergeCell ref="F88:G88"/>
    <mergeCell ref="B89:C96"/>
    <mergeCell ref="F89:G89"/>
    <mergeCell ref="F90:G90"/>
    <mergeCell ref="F91:G91"/>
    <mergeCell ref="D92:D94"/>
    <mergeCell ref="E92:E93"/>
    <mergeCell ref="F92:G93"/>
    <mergeCell ref="H92:H93"/>
    <mergeCell ref="I92:I93"/>
    <mergeCell ref="K92:K93"/>
    <mergeCell ref="L92:L93"/>
    <mergeCell ref="B100:D100"/>
    <mergeCell ref="F100:G100"/>
    <mergeCell ref="B101:C108"/>
    <mergeCell ref="F101:G101"/>
    <mergeCell ref="F102:G102"/>
    <mergeCell ref="F103:G103"/>
    <mergeCell ref="F104:G104"/>
    <mergeCell ref="F105:G105"/>
    <mergeCell ref="F106:G106"/>
    <mergeCell ref="F107:G107"/>
    <mergeCell ref="F108:G108"/>
    <mergeCell ref="B109:C119"/>
    <mergeCell ref="F109:G109"/>
    <mergeCell ref="F110:G110"/>
    <mergeCell ref="F111:G111"/>
    <mergeCell ref="F112:G112"/>
    <mergeCell ref="F113:G113"/>
    <mergeCell ref="F119:G119"/>
    <mergeCell ref="K116:K117"/>
    <mergeCell ref="L116:L117"/>
    <mergeCell ref="K114:K115"/>
    <mergeCell ref="L114:L115"/>
    <mergeCell ref="B120:D120"/>
    <mergeCell ref="F120:G120"/>
    <mergeCell ref="E114:E116"/>
    <mergeCell ref="F114:G116"/>
    <mergeCell ref="H114:H116"/>
    <mergeCell ref="I114:I116"/>
    <mergeCell ref="F117:G117"/>
    <mergeCell ref="F118:G118"/>
  </mergeCells>
  <phoneticPr fontId="1"/>
  <dataValidations count="1">
    <dataValidation type="list" allowBlank="1" showInputMessage="1" showErrorMessage="1" sqref="D12">
      <formula1>"都市ガス,消化ガス,,灯油,A重油"</formula1>
    </dataValidation>
  </dataValidations>
  <pageMargins left="0.70866141732283472" right="0.70866141732283472" top="0.74803149606299213" bottom="0.74803149606299213" header="0.31496062992125984" footer="0.31496062992125984"/>
  <pageSetup paperSize="8"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試算シート (25B_脱水燃焼発電全体最適化)</vt:lpstr>
      <vt:lpstr>'試算シート (25B_脱水燃焼発電全体最適化)'!Print_Area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lastModifiedBy>
  <cp:lastPrinted>2020-08-31T01:35:18Z</cp:lastPrinted>
  <dcterms:created xsi:type="dcterms:W3CDTF">2019-06-12T01:14:22Z</dcterms:created>
  <dcterms:modified xsi:type="dcterms:W3CDTF">2020-09-10T00:52:31Z</dcterms:modified>
</cp:coreProperties>
</file>