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g1\q00181\プラントオーダ\Dオーダ\D2000151(福岡水素ﾀｳﾝ(仮称)向ﾊﾞｲｵｶﾞｽ水素ｽﾃｰｼｮﾝ外部出荷実証)\国交省B-DASH普及促進\"/>
    </mc:Choice>
  </mc:AlternateContent>
  <bookViews>
    <workbookView xWindow="0" yWindow="0" windowWidth="16170" windowHeight="5565"/>
  </bookViews>
  <sheets>
    <sheet name="CO2あり試算シート" sheetId="3" r:id="rId1"/>
    <sheet name="CO2なし試算シート " sheetId="4" r:id="rId2"/>
  </sheets>
  <calcPr calcId="162913"/>
</workbook>
</file>

<file path=xl/calcChain.xml><?xml version="1.0" encoding="utf-8"?>
<calcChain xmlns="http://schemas.openxmlformats.org/spreadsheetml/2006/main">
  <c r="H41" i="4" l="1"/>
  <c r="H37" i="4"/>
  <c r="H30" i="4"/>
  <c r="H31" i="4" s="1"/>
  <c r="H23" i="4"/>
  <c r="H22" i="4"/>
  <c r="H18" i="4"/>
  <c r="H17" i="4"/>
  <c r="H16" i="4"/>
  <c r="H24" i="4" s="1"/>
  <c r="H29" i="4" s="1"/>
  <c r="H13" i="4"/>
  <c r="H12" i="4"/>
  <c r="H14" i="4" s="1"/>
  <c r="H28" i="4" s="1"/>
  <c r="H32" i="4" l="1"/>
  <c r="H33" i="4" s="1"/>
  <c r="H18" i="3"/>
  <c r="H12" i="3" l="1"/>
  <c r="H13" i="3"/>
  <c r="H43" i="3" l="1"/>
  <c r="H39" i="3"/>
  <c r="H32" i="3"/>
  <c r="H33" i="3" s="1"/>
  <c r="H30" i="3"/>
  <c r="H31" i="3" s="1"/>
  <c r="H16" i="3" l="1"/>
  <c r="H22" i="3"/>
  <c r="H17" i="3"/>
  <c r="H23" i="3"/>
  <c r="H24" i="3" l="1"/>
  <c r="H29" i="3" s="1"/>
  <c r="H34" i="3" s="1"/>
  <c r="H14" i="3"/>
  <c r="H28" i="3" s="1"/>
  <c r="H35" i="3" l="1"/>
</calcChain>
</file>

<file path=xl/sharedStrings.xml><?xml version="1.0" encoding="utf-8"?>
<sst xmlns="http://schemas.openxmlformats.org/spreadsheetml/2006/main" count="339" uniqueCount="166">
  <si>
    <t>建設費</t>
    <rPh sb="0" eb="3">
      <t>ケンセツヒ</t>
    </rPh>
    <phoneticPr fontId="1"/>
  </si>
  <si>
    <t>維持管理費</t>
    <rPh sb="0" eb="2">
      <t>イジ</t>
    </rPh>
    <rPh sb="2" eb="5">
      <t>カンリヒ</t>
    </rPh>
    <phoneticPr fontId="1"/>
  </si>
  <si>
    <t>革新的技術</t>
    <rPh sb="0" eb="3">
      <t>カクシンテキ</t>
    </rPh>
    <rPh sb="3" eb="5">
      <t>ギジュツ</t>
    </rPh>
    <phoneticPr fontId="1"/>
  </si>
  <si>
    <t>維持管理費合計</t>
    <rPh sb="0" eb="2">
      <t>イジ</t>
    </rPh>
    <rPh sb="2" eb="5">
      <t>カンリヒ</t>
    </rPh>
    <rPh sb="5" eb="7">
      <t>ゴウケイ</t>
    </rPh>
    <phoneticPr fontId="1"/>
  </si>
  <si>
    <t>建設費合計</t>
    <rPh sb="0" eb="3">
      <t>ケンセツヒ</t>
    </rPh>
    <rPh sb="3" eb="5">
      <t>ゴウケイ</t>
    </rPh>
    <phoneticPr fontId="1"/>
  </si>
  <si>
    <t>費用（百万円）</t>
    <rPh sb="0" eb="2">
      <t>ヒヨウ</t>
    </rPh>
    <rPh sb="3" eb="5">
      <t>ヒャクマン</t>
    </rPh>
    <rPh sb="5" eb="6">
      <t>エン</t>
    </rPh>
    <phoneticPr fontId="1"/>
  </si>
  <si>
    <t>備考</t>
    <rPh sb="0" eb="2">
      <t>ビコウ</t>
    </rPh>
    <phoneticPr fontId="1"/>
  </si>
  <si>
    <t>技術区分</t>
    <rPh sb="0" eb="2">
      <t>ギジュツ</t>
    </rPh>
    <rPh sb="2" eb="4">
      <t>クブン</t>
    </rPh>
    <phoneticPr fontId="1"/>
  </si>
  <si>
    <t>項目</t>
    <rPh sb="0" eb="2">
      <t>コウモク</t>
    </rPh>
    <phoneticPr fontId="1"/>
  </si>
  <si>
    <t>設備名称</t>
    <rPh sb="0" eb="2">
      <t>セツビ</t>
    </rPh>
    <rPh sb="2" eb="4">
      <t>メイショウ</t>
    </rPh>
    <phoneticPr fontId="1"/>
  </si>
  <si>
    <t>百万円</t>
    <rPh sb="0" eb="1">
      <t>ヒャク</t>
    </rPh>
    <rPh sb="1" eb="3">
      <t>マンエン</t>
    </rPh>
    <phoneticPr fontId="1"/>
  </si>
  <si>
    <t>百万円/年</t>
    <rPh sb="0" eb="1">
      <t>ヒャク</t>
    </rPh>
    <rPh sb="1" eb="3">
      <t>マンエン</t>
    </rPh>
    <rPh sb="4" eb="5">
      <t>ネン</t>
    </rPh>
    <phoneticPr fontId="1"/>
  </si>
  <si>
    <t>単位</t>
    <rPh sb="0" eb="2">
      <t>タンイ</t>
    </rPh>
    <phoneticPr fontId="1"/>
  </si>
  <si>
    <t>年</t>
    <rPh sb="0" eb="1">
      <t>ネン</t>
    </rPh>
    <phoneticPr fontId="1"/>
  </si>
  <si>
    <t>百万円</t>
    <rPh sb="0" eb="2">
      <t>ヒャクマン</t>
    </rPh>
    <rPh sb="2" eb="3">
      <t>エン</t>
    </rPh>
    <phoneticPr fontId="1"/>
  </si>
  <si>
    <t>費用関数</t>
    <rPh sb="0" eb="2">
      <t>ヒヨウ</t>
    </rPh>
    <rPh sb="2" eb="4">
      <t>カンスウ</t>
    </rPh>
    <phoneticPr fontId="1"/>
  </si>
  <si>
    <t>ー</t>
    <phoneticPr fontId="1"/>
  </si>
  <si>
    <t>備考</t>
    <phoneticPr fontId="1"/>
  </si>
  <si>
    <t>費用関数</t>
    <phoneticPr fontId="1"/>
  </si>
  <si>
    <t>③</t>
    <phoneticPr fontId="1"/>
  </si>
  <si>
    <t>諸元値一覧</t>
    <rPh sb="0" eb="2">
      <t>ショゲン</t>
    </rPh>
    <rPh sb="2" eb="3">
      <t>チ</t>
    </rPh>
    <rPh sb="3" eb="5">
      <t>イチラン</t>
    </rPh>
    <phoneticPr fontId="1"/>
  </si>
  <si>
    <t>都市ガス</t>
    <rPh sb="0" eb="2">
      <t>トシ</t>
    </rPh>
    <phoneticPr fontId="1"/>
  </si>
  <si>
    <t>灯油</t>
    <rPh sb="0" eb="2">
      <t>トウユ</t>
    </rPh>
    <phoneticPr fontId="1"/>
  </si>
  <si>
    <t>消化ガス</t>
    <rPh sb="0" eb="2">
      <t>ショウカ</t>
    </rPh>
    <phoneticPr fontId="1"/>
  </si>
  <si>
    <t>エネルギー換算係数</t>
    <rPh sb="5" eb="7">
      <t>カンサン</t>
    </rPh>
    <rPh sb="7" eb="9">
      <t>ケイスウ</t>
    </rPh>
    <phoneticPr fontId="1"/>
  </si>
  <si>
    <t>温室効果ガス換算係数</t>
    <rPh sb="0" eb="2">
      <t>オンシツ</t>
    </rPh>
    <rPh sb="2" eb="4">
      <t>コウカ</t>
    </rPh>
    <rPh sb="6" eb="8">
      <t>カンサン</t>
    </rPh>
    <rPh sb="8" eb="10">
      <t>ケイスウ</t>
    </rPh>
    <phoneticPr fontId="1"/>
  </si>
  <si>
    <t>MJ/L</t>
    <phoneticPr fontId="1"/>
  </si>
  <si>
    <r>
      <t>MJ/Nm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phoneticPr fontId="1"/>
  </si>
  <si>
    <r>
      <t>MJ/Nm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phoneticPr fontId="1"/>
  </si>
  <si>
    <t>A重油</t>
    <rPh sb="1" eb="3">
      <t>ジュウユ</t>
    </rPh>
    <phoneticPr fontId="1"/>
  </si>
  <si>
    <t>←計算参照セル修正しました。</t>
    <rPh sb="1" eb="3">
      <t>ケイサン</t>
    </rPh>
    <rPh sb="3" eb="5">
      <t>サンショウ</t>
    </rPh>
    <rPh sb="7" eb="9">
      <t>シュウセイ</t>
    </rPh>
    <phoneticPr fontId="1"/>
  </si>
  <si>
    <r>
      <t>kg</t>
    </r>
    <r>
      <rPr>
        <sz val="11"/>
        <rFont val="游ゴシック"/>
        <family val="3"/>
        <charset val="128"/>
        <scheme val="minor"/>
      </rPr>
      <t>-CO</t>
    </r>
    <r>
      <rPr>
        <vertAlign val="subscript"/>
        <sz val="11"/>
        <rFont val="游ゴシック"/>
        <family val="3"/>
        <charset val="128"/>
        <scheme val="minor"/>
      </rPr>
      <t>2</t>
    </r>
    <r>
      <rPr>
        <sz val="11"/>
        <rFont val="游ゴシック"/>
        <family val="3"/>
        <charset val="128"/>
        <scheme val="minor"/>
      </rPr>
      <t>/m</t>
    </r>
    <r>
      <rPr>
        <vertAlign val="superscript"/>
        <sz val="11"/>
        <rFont val="游ゴシック"/>
        <family val="3"/>
        <charset val="128"/>
        <scheme val="minor"/>
      </rPr>
      <t>3</t>
    </r>
    <phoneticPr fontId="1"/>
  </si>
  <si>
    <r>
      <t>kg-CO</t>
    </r>
    <r>
      <rPr>
        <vertAlign val="subscript"/>
        <sz val="11"/>
        <rFont val="游ゴシック"/>
        <family val="3"/>
        <charset val="128"/>
        <scheme val="minor"/>
      </rPr>
      <t>2</t>
    </r>
    <r>
      <rPr>
        <sz val="11"/>
        <rFont val="游ゴシック"/>
        <family val="3"/>
        <charset val="128"/>
        <scheme val="minor"/>
      </rPr>
      <t>/m</t>
    </r>
    <r>
      <rPr>
        <vertAlign val="superscript"/>
        <sz val="11"/>
        <rFont val="游ゴシック"/>
        <family val="3"/>
        <charset val="128"/>
        <scheme val="minor"/>
      </rPr>
      <t>3</t>
    </r>
    <phoneticPr fontId="1"/>
  </si>
  <si>
    <r>
      <t>kg-CO</t>
    </r>
    <r>
      <rPr>
        <vertAlign val="subscript"/>
        <sz val="11"/>
        <rFont val="游ゴシック"/>
        <family val="3"/>
        <charset val="128"/>
        <scheme val="minor"/>
      </rPr>
      <t>2</t>
    </r>
    <r>
      <rPr>
        <sz val="11"/>
        <rFont val="游ゴシック"/>
        <family val="3"/>
        <charset val="128"/>
        <scheme val="minor"/>
      </rPr>
      <t>/L</t>
    </r>
    <phoneticPr fontId="1"/>
  </si>
  <si>
    <r>
      <t>kg-CO</t>
    </r>
    <r>
      <rPr>
        <vertAlign val="subscript"/>
        <sz val="11"/>
        <rFont val="游ゴシック"/>
        <family val="3"/>
        <charset val="128"/>
        <scheme val="minor"/>
      </rPr>
      <t>2</t>
    </r>
    <r>
      <rPr>
        <sz val="11"/>
        <rFont val="游ゴシック"/>
        <family val="3"/>
        <charset val="128"/>
        <scheme val="minor"/>
      </rPr>
      <t>/L</t>
    </r>
    <phoneticPr fontId="1"/>
  </si>
  <si>
    <t>　消化ガス組成</t>
    <rPh sb="1" eb="3">
      <t>ショウカ</t>
    </rPh>
    <rPh sb="5" eb="7">
      <t>ソセイ</t>
    </rPh>
    <phoneticPr fontId="1"/>
  </si>
  <si>
    <t>　　① メタン濃度　　（vol%）</t>
    <rPh sb="7" eb="9">
      <t>ノウド</t>
    </rPh>
    <phoneticPr fontId="1"/>
  </si>
  <si>
    <t>10 以下</t>
    <rPh sb="3" eb="5">
      <t>イカ</t>
    </rPh>
    <phoneticPr fontId="1"/>
  </si>
  <si>
    <t>　　稼働日数(日/年)</t>
    <rPh sb="2" eb="4">
      <t>カドウ</t>
    </rPh>
    <rPh sb="4" eb="6">
      <t>ニッスウ</t>
    </rPh>
    <rPh sb="7" eb="8">
      <t>ヒ</t>
    </rPh>
    <rPh sb="9" eb="10">
      <t>ネン</t>
    </rPh>
    <phoneticPr fontId="1"/>
  </si>
  <si>
    <t>　　電力単価(円/kWh)</t>
    <rPh sb="2" eb="4">
      <t>デンリョク</t>
    </rPh>
    <rPh sb="4" eb="6">
      <t>タンカ</t>
    </rPh>
    <rPh sb="7" eb="8">
      <t>エン</t>
    </rPh>
    <phoneticPr fontId="1"/>
  </si>
  <si>
    <r>
      <t>　　上水単価(円/m</t>
    </r>
    <r>
      <rPr>
        <vertAlign val="superscript"/>
        <sz val="11"/>
        <rFont val="游ゴシック"/>
        <family val="3"/>
        <charset val="128"/>
        <scheme val="minor"/>
      </rPr>
      <t>3</t>
    </r>
    <r>
      <rPr>
        <sz val="11"/>
        <rFont val="游ゴシック"/>
        <family val="3"/>
        <charset val="128"/>
        <scheme val="minor"/>
      </rPr>
      <t>)</t>
    </r>
    <rPh sb="2" eb="4">
      <t>ジョウスイ</t>
    </rPh>
    <rPh sb="4" eb="6">
      <t>タンカ</t>
    </rPh>
    <rPh sb="7" eb="8">
      <t>エン</t>
    </rPh>
    <phoneticPr fontId="1"/>
  </si>
  <si>
    <r>
      <t>Y</t>
    </r>
    <r>
      <rPr>
        <sz val="11"/>
        <color theme="1"/>
        <rFont val="游ゴシック"/>
        <family val="2"/>
        <charset val="128"/>
        <scheme val="minor"/>
      </rPr>
      <t>=0.1917X+91.3</t>
    </r>
    <phoneticPr fontId="1"/>
  </si>
  <si>
    <t>土木建築費</t>
    <rPh sb="0" eb="2">
      <t>ドボク</t>
    </rPh>
    <rPh sb="2" eb="4">
      <t>ケンチク</t>
    </rPh>
    <rPh sb="4" eb="5">
      <t>ヒ</t>
    </rPh>
    <phoneticPr fontId="1"/>
  </si>
  <si>
    <r>
      <t>Y</t>
    </r>
    <r>
      <rPr>
        <sz val="11"/>
        <color theme="1"/>
        <rFont val="游ゴシック"/>
        <family val="2"/>
        <charset val="128"/>
        <scheme val="minor"/>
      </rPr>
      <t>=1.558X+540.7</t>
    </r>
    <phoneticPr fontId="1"/>
  </si>
  <si>
    <t>維持管理費（上水費）</t>
    <rPh sb="0" eb="2">
      <t>イジ</t>
    </rPh>
    <rPh sb="2" eb="5">
      <t>カンリヒ</t>
    </rPh>
    <rPh sb="6" eb="8">
      <t>ジョウスイ</t>
    </rPh>
    <rPh sb="8" eb="9">
      <t>ヒ</t>
    </rPh>
    <phoneticPr fontId="1"/>
  </si>
  <si>
    <t>維持管理費（消費電力）</t>
    <rPh sb="0" eb="2">
      <t>イジ</t>
    </rPh>
    <rPh sb="2" eb="5">
      <t>カンリヒ</t>
    </rPh>
    <rPh sb="6" eb="8">
      <t>ショウヒ</t>
    </rPh>
    <rPh sb="8" eb="10">
      <t>デンリョク</t>
    </rPh>
    <phoneticPr fontId="1"/>
  </si>
  <si>
    <t>③＝①＋②</t>
    <phoneticPr fontId="1"/>
  </si>
  <si>
    <t>維持管理費（人件費）</t>
    <rPh sb="0" eb="2">
      <t>イジ</t>
    </rPh>
    <rPh sb="2" eb="5">
      <t>カンリヒ</t>
    </rPh>
    <rPh sb="6" eb="9">
      <t>ジンケンヒ</t>
    </rPh>
    <phoneticPr fontId="1"/>
  </si>
  <si>
    <t>⑩</t>
    <phoneticPr fontId="1"/>
  </si>
  <si>
    <t>維持管理費（修繕費）</t>
    <rPh sb="0" eb="2">
      <t>イジ</t>
    </rPh>
    <rPh sb="2" eb="5">
      <t>カンリヒ</t>
    </rPh>
    <rPh sb="6" eb="9">
      <t>シュウゼンヒ</t>
    </rPh>
    <phoneticPr fontId="1"/>
  </si>
  <si>
    <t>⑫＝④～⑪の合計</t>
    <rPh sb="6" eb="8">
      <t>ゴウケイ</t>
    </rPh>
    <phoneticPr fontId="1"/>
  </si>
  <si>
    <t>下水バイオガス原料による水素製造設備</t>
    <rPh sb="0" eb="2">
      <t>ゲスイ</t>
    </rPh>
    <rPh sb="7" eb="9">
      <t>ゲンリョウ</t>
    </rPh>
    <rPh sb="12" eb="14">
      <t>スイソ</t>
    </rPh>
    <rPh sb="14" eb="16">
      <t>セイゾウ</t>
    </rPh>
    <rPh sb="16" eb="18">
      <t>セツビ</t>
    </rPh>
    <phoneticPr fontId="1"/>
  </si>
  <si>
    <t>費用（百円/年）</t>
    <rPh sb="0" eb="2">
      <t>ヒヨウ</t>
    </rPh>
    <rPh sb="3" eb="4">
      <t>ヒャク</t>
    </rPh>
    <rPh sb="4" eb="5">
      <t>エン</t>
    </rPh>
    <rPh sb="6" eb="7">
      <t>ネン</t>
    </rPh>
    <phoneticPr fontId="1"/>
  </si>
  <si>
    <t>経費回収年</t>
    <rPh sb="0" eb="2">
      <t>ケイヒ</t>
    </rPh>
    <rPh sb="2" eb="4">
      <t>カイシュウ</t>
    </rPh>
    <rPh sb="4" eb="5">
      <t>ネン</t>
    </rPh>
    <phoneticPr fontId="1"/>
  </si>
  <si>
    <t>百万円/年</t>
    <rPh sb="0" eb="2">
      <t>ヒャクマン</t>
    </rPh>
    <rPh sb="2" eb="3">
      <t>エン</t>
    </rPh>
    <rPh sb="4" eb="5">
      <t>ネン</t>
    </rPh>
    <phoneticPr fontId="1"/>
  </si>
  <si>
    <r>
      <t>Y</t>
    </r>
    <r>
      <rPr>
        <sz val="11"/>
        <color theme="1"/>
        <rFont val="游ゴシック"/>
        <family val="2"/>
        <charset val="128"/>
        <scheme val="minor"/>
      </rPr>
      <t>=（109.42X+5,367.7）/1000</t>
    </r>
    <phoneticPr fontId="1"/>
  </si>
  <si>
    <r>
      <t>Y</t>
    </r>
    <r>
      <rPr>
        <sz val="11"/>
        <color theme="1"/>
        <rFont val="游ゴシック"/>
        <family val="2"/>
        <charset val="128"/>
        <scheme val="minor"/>
      </rPr>
      <t>=（9.400X+187.0）/1000</t>
    </r>
    <phoneticPr fontId="1"/>
  </si>
  <si>
    <t>Y=（9.0250X+0.7）/1000</t>
    <phoneticPr fontId="1"/>
  </si>
  <si>
    <t>Y=（1.583X+648.3）/1000</t>
    <phoneticPr fontId="1"/>
  </si>
  <si>
    <t>Y=（8.358X-0.3）/1000</t>
    <phoneticPr fontId="1"/>
  </si>
  <si>
    <t>Y=（5.142X+789.7）/1000</t>
    <phoneticPr fontId="1"/>
  </si>
  <si>
    <t>Y=（7,000×2）/1000</t>
    <phoneticPr fontId="1"/>
  </si>
  <si>
    <t>Y=（19.058X+26,874）/1000</t>
    <phoneticPr fontId="1"/>
  </si>
  <si>
    <t>水素製造設備建設費</t>
    <rPh sb="0" eb="2">
      <t>スイソ</t>
    </rPh>
    <rPh sb="2" eb="4">
      <t>セイゾウ</t>
    </rPh>
    <rPh sb="4" eb="6">
      <t>セツビ</t>
    </rPh>
    <rPh sb="6" eb="9">
      <t>ケンセツヒ</t>
    </rPh>
    <phoneticPr fontId="1"/>
  </si>
  <si>
    <t>水素製造量</t>
    <rPh sb="0" eb="2">
      <t>スイソ</t>
    </rPh>
    <rPh sb="2" eb="4">
      <t>セイゾウ</t>
    </rPh>
    <rPh sb="4" eb="5">
      <t>リョウ</t>
    </rPh>
    <phoneticPr fontId="1"/>
  </si>
  <si>
    <t>水素販売収入</t>
    <rPh sb="0" eb="2">
      <t>スイソ</t>
    </rPh>
    <rPh sb="2" eb="4">
      <t>ハンバイ</t>
    </rPh>
    <rPh sb="4" eb="6">
      <t>シュウニュウ</t>
    </rPh>
    <phoneticPr fontId="1"/>
  </si>
  <si>
    <t>費用</t>
    <rPh sb="0" eb="2">
      <t>ヒヨウ</t>
    </rPh>
    <phoneticPr fontId="1"/>
  </si>
  <si>
    <t>－</t>
    <phoneticPr fontId="1"/>
  </si>
  <si>
    <t>－</t>
    <phoneticPr fontId="1"/>
  </si>
  <si>
    <t>⑫</t>
    <phoneticPr fontId="1"/>
  </si>
  <si>
    <t>Y=17.342X-68.3</t>
    <phoneticPr fontId="1"/>
  </si>
  <si>
    <t>⑬</t>
    <phoneticPr fontId="1"/>
  </si>
  <si>
    <t>kg/日</t>
    <rPh sb="3" eb="4">
      <t>ヒ</t>
    </rPh>
    <phoneticPr fontId="1"/>
  </si>
  <si>
    <t>Y=8.633X</t>
    <phoneticPr fontId="1"/>
  </si>
  <si>
    <t>⑭</t>
    <phoneticPr fontId="1"/>
  </si>
  <si>
    <t>年間収益</t>
    <rPh sb="0" eb="2">
      <t>ネンカン</t>
    </rPh>
    <rPh sb="2" eb="4">
      <t>シュウエキ</t>
    </rPh>
    <phoneticPr fontId="1"/>
  </si>
  <si>
    <t>－</t>
    <phoneticPr fontId="1"/>
  </si>
  <si>
    <t>⑮＝⑬+⑭-⑫</t>
    <phoneticPr fontId="1"/>
  </si>
  <si>
    <t>⑯＝③/⑮</t>
    <phoneticPr fontId="1"/>
  </si>
  <si>
    <t>エネルギー創出量</t>
    <rPh sb="5" eb="7">
      <t>ソウシュツ</t>
    </rPh>
    <rPh sb="7" eb="8">
      <t>リョウ</t>
    </rPh>
    <phoneticPr fontId="1"/>
  </si>
  <si>
    <t>GJ/年</t>
    <rPh sb="3" eb="4">
      <t>ネン</t>
    </rPh>
    <phoneticPr fontId="1"/>
  </si>
  <si>
    <t>Y=27.04X-2,155</t>
    <phoneticPr fontId="1"/>
  </si>
  <si>
    <t>温室効果ガス排出削減量</t>
    <rPh sb="0" eb="2">
      <t>オンシツ</t>
    </rPh>
    <rPh sb="2" eb="4">
      <t>コウカ</t>
    </rPh>
    <rPh sb="6" eb="8">
      <t>ハイシュツ</t>
    </rPh>
    <rPh sb="8" eb="10">
      <t>サクゲン</t>
    </rPh>
    <rPh sb="10" eb="11">
      <t>リョウ</t>
    </rPh>
    <phoneticPr fontId="1"/>
  </si>
  <si>
    <t>Y=3.558X-239.3</t>
    <phoneticPr fontId="1"/>
  </si>
  <si>
    <t>排出削減量</t>
    <rPh sb="0" eb="2">
      <t>ハイシュツ</t>
    </rPh>
    <rPh sb="2" eb="4">
      <t>サクゲン</t>
    </rPh>
    <rPh sb="4" eb="5">
      <t>リョウ</t>
    </rPh>
    <phoneticPr fontId="1"/>
  </si>
  <si>
    <t>温室効果ガス排出削減量算出条件</t>
    <rPh sb="0" eb="2">
      <t>オンシツ</t>
    </rPh>
    <rPh sb="2" eb="4">
      <t>コウカ</t>
    </rPh>
    <rPh sb="6" eb="8">
      <t>ハイシュツ</t>
    </rPh>
    <rPh sb="8" eb="10">
      <t>サクゲン</t>
    </rPh>
    <rPh sb="10" eb="11">
      <t>リョウ</t>
    </rPh>
    <rPh sb="11" eb="13">
      <t>サンシュツ</t>
    </rPh>
    <rPh sb="13" eb="15">
      <t>ジョウケン</t>
    </rPh>
    <phoneticPr fontId="1"/>
  </si>
  <si>
    <t>比較対象車</t>
    <rPh sb="0" eb="2">
      <t>ヒカク</t>
    </rPh>
    <rPh sb="2" eb="4">
      <t>タイショウ</t>
    </rPh>
    <rPh sb="4" eb="5">
      <t>シャ</t>
    </rPh>
    <phoneticPr fontId="1"/>
  </si>
  <si>
    <t>燃料消費率</t>
    <rPh sb="0" eb="2">
      <t>ネンリョウ</t>
    </rPh>
    <rPh sb="2" eb="4">
      <t>ショウヒ</t>
    </rPh>
    <rPh sb="4" eb="5">
      <t>リツ</t>
    </rPh>
    <phoneticPr fontId="1"/>
  </si>
  <si>
    <t>ガソリン</t>
    <phoneticPr fontId="1"/>
  </si>
  <si>
    <t>電力</t>
    <rPh sb="0" eb="2">
      <t>デンリョク</t>
    </rPh>
    <phoneticPr fontId="1"/>
  </si>
  <si>
    <t>上水</t>
    <rPh sb="0" eb="2">
      <t>ジョウスイ</t>
    </rPh>
    <phoneticPr fontId="1"/>
  </si>
  <si>
    <t>活性炭</t>
    <rPh sb="0" eb="3">
      <t>カッセイタン</t>
    </rPh>
    <phoneticPr fontId="1"/>
  </si>
  <si>
    <t>ガソリン車
（ハイブリット）</t>
    <rPh sb="4" eb="5">
      <t>シャ</t>
    </rPh>
    <phoneticPr fontId="1"/>
  </si>
  <si>
    <t>燃料電池車</t>
    <rPh sb="0" eb="2">
      <t>ネンリョウ</t>
    </rPh>
    <rPh sb="2" eb="4">
      <t>デンチ</t>
    </rPh>
    <rPh sb="4" eb="5">
      <t>シャ</t>
    </rPh>
    <phoneticPr fontId="1"/>
  </si>
  <si>
    <t>21.4km/L</t>
    <phoneticPr fontId="1"/>
  </si>
  <si>
    <t>－</t>
    <phoneticPr fontId="1"/>
  </si>
  <si>
    <t>－</t>
    <phoneticPr fontId="1"/>
  </si>
  <si>
    <r>
      <t>　設備規模(消化ガス量 Nm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/h)</t>
    </r>
    <rPh sb="1" eb="3">
      <t>セツビ</t>
    </rPh>
    <rPh sb="3" eb="5">
      <t>キボ</t>
    </rPh>
    <rPh sb="6" eb="8">
      <t>ショウカ</t>
    </rPh>
    <rPh sb="10" eb="11">
      <t>リョウ</t>
    </rPh>
    <phoneticPr fontId="1"/>
  </si>
  <si>
    <r>
      <t>　　③ シロキサン濃度（mg/Nm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）</t>
    </r>
    <rPh sb="9" eb="11">
      <t>ノウド</t>
    </rPh>
    <phoneticPr fontId="1"/>
  </si>
  <si>
    <r>
      <t>　　② CO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濃度　　　（vol%）</t>
    </r>
    <rPh sb="7" eb="9">
      <t>ノウド</t>
    </rPh>
    <phoneticPr fontId="1"/>
  </si>
  <si>
    <r>
      <t>　　④ H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S濃度　　　（ppm）</t>
    </r>
    <rPh sb="7" eb="9">
      <t>ノウド</t>
    </rPh>
    <phoneticPr fontId="1"/>
  </si>
  <si>
    <r>
      <t>　　水素販売単価（円/Nm</t>
    </r>
    <r>
      <rPr>
        <vertAlign val="superscript"/>
        <sz val="11"/>
        <rFont val="游ゴシック"/>
        <family val="3"/>
        <charset val="128"/>
        <scheme val="minor"/>
      </rPr>
      <t>3</t>
    </r>
    <r>
      <rPr>
        <sz val="11"/>
        <rFont val="游ゴシック"/>
        <family val="2"/>
        <charset val="128"/>
        <scheme val="minor"/>
      </rPr>
      <t>）</t>
    </r>
    <rPh sb="2" eb="4">
      <t>スイソ</t>
    </rPh>
    <rPh sb="4" eb="6">
      <t>ハンバイ</t>
    </rPh>
    <rPh sb="6" eb="8">
      <t>タンカ</t>
    </rPh>
    <rPh sb="9" eb="10">
      <t>エン</t>
    </rPh>
    <phoneticPr fontId="1"/>
  </si>
  <si>
    <r>
      <t>　　CO</t>
    </r>
    <r>
      <rPr>
        <vertAlign val="subscript"/>
        <sz val="11"/>
        <rFont val="游ゴシック"/>
        <family val="3"/>
        <charset val="128"/>
        <scheme val="minor"/>
      </rPr>
      <t>2</t>
    </r>
    <r>
      <rPr>
        <sz val="11"/>
        <rFont val="游ゴシック"/>
        <family val="3"/>
        <charset val="128"/>
        <scheme val="minor"/>
      </rPr>
      <t>販売単価（円/kg）</t>
    </r>
    <rPh sb="5" eb="7">
      <t>ハンバイ</t>
    </rPh>
    <rPh sb="7" eb="9">
      <t>タンカ</t>
    </rPh>
    <rPh sb="10" eb="11">
      <t>エン</t>
    </rPh>
    <phoneticPr fontId="1"/>
  </si>
  <si>
    <r>
      <t>設備費及び維持管理費　下水バイオガス原料による水素創エネ技術（CO</t>
    </r>
    <r>
      <rPr>
        <vertAlign val="subscript"/>
        <sz val="20"/>
        <color theme="1"/>
        <rFont val="游ゴシック"/>
        <family val="3"/>
        <charset val="128"/>
        <scheme val="minor"/>
      </rPr>
      <t>2</t>
    </r>
    <r>
      <rPr>
        <sz val="20"/>
        <color theme="1"/>
        <rFont val="游ゴシック"/>
        <family val="2"/>
        <charset val="128"/>
        <scheme val="minor"/>
      </rPr>
      <t>液化回収設備ありの場合）</t>
    </r>
    <rPh sb="0" eb="3">
      <t>セツビヒ</t>
    </rPh>
    <rPh sb="3" eb="4">
      <t>オヨ</t>
    </rPh>
    <rPh sb="5" eb="7">
      <t>イジ</t>
    </rPh>
    <rPh sb="7" eb="10">
      <t>カンリヒ</t>
    </rPh>
    <rPh sb="11" eb="13">
      <t>ゲスイ</t>
    </rPh>
    <rPh sb="18" eb="20">
      <t>ゲンリョウ</t>
    </rPh>
    <rPh sb="23" eb="25">
      <t>スイソ</t>
    </rPh>
    <rPh sb="25" eb="26">
      <t>ソウ</t>
    </rPh>
    <rPh sb="28" eb="30">
      <t>ギジュツ</t>
    </rPh>
    <rPh sb="34" eb="36">
      <t>エキカ</t>
    </rPh>
    <rPh sb="36" eb="38">
      <t>カイシュウ</t>
    </rPh>
    <rPh sb="38" eb="40">
      <t>セツビ</t>
    </rPh>
    <rPh sb="43" eb="45">
      <t>バアイ</t>
    </rPh>
    <phoneticPr fontId="1"/>
  </si>
  <si>
    <r>
      <t>①　X：消化ガス量（Nm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/h)</t>
    </r>
    <rPh sb="4" eb="6">
      <t>ショウカ</t>
    </rPh>
    <rPh sb="8" eb="9">
      <t>リョウ</t>
    </rPh>
    <phoneticPr fontId="1"/>
  </si>
  <si>
    <r>
      <t>②　X：消化ガス量（Nm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/h)</t>
    </r>
    <rPh sb="4" eb="6">
      <t>ショウカ</t>
    </rPh>
    <rPh sb="8" eb="9">
      <t>リョウ</t>
    </rPh>
    <phoneticPr fontId="1"/>
  </si>
  <si>
    <r>
      <t>④　X：消化ガス量（Nm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/h)</t>
    </r>
    <rPh sb="4" eb="6">
      <t>ショウカ</t>
    </rPh>
    <rPh sb="8" eb="9">
      <t>リョウ</t>
    </rPh>
    <phoneticPr fontId="1"/>
  </si>
  <si>
    <r>
      <t>⑤　X：消化ガス量（Nm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/h)</t>
    </r>
    <rPh sb="4" eb="6">
      <t>ショウカ</t>
    </rPh>
    <rPh sb="8" eb="9">
      <t>リョウ</t>
    </rPh>
    <phoneticPr fontId="1"/>
  </si>
  <si>
    <r>
      <t>⑥　X：消化ガス量（Nm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/h)</t>
    </r>
    <rPh sb="4" eb="6">
      <t>ショウカ</t>
    </rPh>
    <rPh sb="8" eb="9">
      <t>リョウ</t>
    </rPh>
    <phoneticPr fontId="1"/>
  </si>
  <si>
    <r>
      <t>⑦　X：消化ガス量（Nm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/h)</t>
    </r>
    <rPh sb="4" eb="6">
      <t>ショウカ</t>
    </rPh>
    <rPh sb="8" eb="9">
      <t>リョウ</t>
    </rPh>
    <phoneticPr fontId="1"/>
  </si>
  <si>
    <r>
      <t>⑧　X：消化ガス量（Nm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/h)</t>
    </r>
    <rPh sb="4" eb="6">
      <t>ショウカ</t>
    </rPh>
    <rPh sb="8" eb="9">
      <t>リョウ</t>
    </rPh>
    <phoneticPr fontId="1"/>
  </si>
  <si>
    <r>
      <t>⑨　X：消化ガス量（Nm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/h)</t>
    </r>
    <rPh sb="4" eb="6">
      <t>ショウカ</t>
    </rPh>
    <rPh sb="8" eb="9">
      <t>リョウ</t>
    </rPh>
    <phoneticPr fontId="1"/>
  </si>
  <si>
    <r>
      <t>⑪　X：消化ガス量（Nm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/h)</t>
    </r>
    <rPh sb="4" eb="6">
      <t>ショウカ</t>
    </rPh>
    <rPh sb="8" eb="9">
      <t>リョウ</t>
    </rPh>
    <phoneticPr fontId="1"/>
  </si>
  <si>
    <r>
      <t>Nm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/日</t>
    </r>
    <rPh sb="4" eb="5">
      <t>ヒ</t>
    </rPh>
    <phoneticPr fontId="1"/>
  </si>
  <si>
    <r>
      <t>CO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販売収入</t>
    </r>
    <rPh sb="3" eb="5">
      <t>ハンバイ</t>
    </rPh>
    <rPh sb="5" eb="7">
      <t>シュウニュウ</t>
    </rPh>
    <phoneticPr fontId="1"/>
  </si>
  <si>
    <r>
      <t>CO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回収量</t>
    </r>
    <rPh sb="3" eb="5">
      <t>カイシュウ</t>
    </rPh>
    <rPh sb="5" eb="6">
      <t>リョウ</t>
    </rPh>
    <phoneticPr fontId="1"/>
  </si>
  <si>
    <r>
      <t>Y=水素製造量（Nm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/日）×稼働日数（日/年）×単価（円/Nm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）×10</t>
    </r>
    <r>
      <rPr>
        <vertAlign val="superscript"/>
        <sz val="11"/>
        <color theme="1"/>
        <rFont val="游ゴシック"/>
        <family val="3"/>
        <charset val="128"/>
        <scheme val="minor"/>
      </rPr>
      <t>-6</t>
    </r>
    <rPh sb="2" eb="4">
      <t>スイソ</t>
    </rPh>
    <rPh sb="4" eb="6">
      <t>セイゾウ</t>
    </rPh>
    <rPh sb="6" eb="7">
      <t>リョウ</t>
    </rPh>
    <rPh sb="12" eb="13">
      <t>ヒ</t>
    </rPh>
    <rPh sb="15" eb="17">
      <t>カドウ</t>
    </rPh>
    <rPh sb="17" eb="19">
      <t>ニッスウ</t>
    </rPh>
    <rPh sb="20" eb="21">
      <t>ニチ</t>
    </rPh>
    <rPh sb="22" eb="23">
      <t>ネン</t>
    </rPh>
    <rPh sb="25" eb="27">
      <t>タンカ</t>
    </rPh>
    <rPh sb="28" eb="29">
      <t>エン</t>
    </rPh>
    <phoneticPr fontId="1"/>
  </si>
  <si>
    <r>
      <t>Y=CO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回収量（kg/日）×稼働日数（日/年）×単価（円/kg）×10</t>
    </r>
    <r>
      <rPr>
        <vertAlign val="superscript"/>
        <sz val="11"/>
        <color theme="1"/>
        <rFont val="游ゴシック"/>
        <family val="3"/>
        <charset val="128"/>
        <scheme val="minor"/>
      </rPr>
      <t>-6</t>
    </r>
    <rPh sb="5" eb="7">
      <t>カイシュウ</t>
    </rPh>
    <rPh sb="7" eb="8">
      <t>リョウ</t>
    </rPh>
    <rPh sb="12" eb="13">
      <t>ヒ</t>
    </rPh>
    <rPh sb="15" eb="17">
      <t>カドウ</t>
    </rPh>
    <rPh sb="17" eb="19">
      <t>ニッスウ</t>
    </rPh>
    <rPh sb="20" eb="21">
      <t>ニチ</t>
    </rPh>
    <rPh sb="22" eb="23">
      <t>ネン</t>
    </rPh>
    <rPh sb="25" eb="27">
      <t>タンカ</t>
    </rPh>
    <rPh sb="28" eb="29">
      <t>エン</t>
    </rPh>
    <phoneticPr fontId="1"/>
  </si>
  <si>
    <r>
      <t>　X：消化ガス量（Nm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/h)</t>
    </r>
    <rPh sb="3" eb="5">
      <t>ショウカ</t>
    </rPh>
    <rPh sb="7" eb="8">
      <t>リョウ</t>
    </rPh>
    <phoneticPr fontId="1"/>
  </si>
  <si>
    <r>
      <t>⑰　X：消化ガス量（Nm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/h)</t>
    </r>
    <rPh sb="4" eb="6">
      <t>ショウカ</t>
    </rPh>
    <rPh sb="8" eb="9">
      <t>リョウ</t>
    </rPh>
    <phoneticPr fontId="1"/>
  </si>
  <si>
    <r>
      <t>ｔ-CO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/年</t>
    </r>
    <rPh sb="6" eb="7">
      <t>ネン</t>
    </rPh>
    <phoneticPr fontId="1"/>
  </si>
  <si>
    <r>
      <t>⑱　X：消化ガス量（Nm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/h)</t>
    </r>
    <rPh sb="4" eb="6">
      <t>ショウカ</t>
    </rPh>
    <rPh sb="8" eb="9">
      <t>リョウ</t>
    </rPh>
    <phoneticPr fontId="1"/>
  </si>
  <si>
    <r>
      <t>CO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排出係数</t>
    </r>
    <rPh sb="3" eb="5">
      <t>ハイシュツ</t>
    </rPh>
    <rPh sb="5" eb="7">
      <t>ケイスウ</t>
    </rPh>
    <phoneticPr fontId="1"/>
  </si>
  <si>
    <r>
      <t>2.32kg-CO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/L</t>
    </r>
    <phoneticPr fontId="1"/>
  </si>
  <si>
    <r>
      <t>0.579kg-CO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/kWh</t>
    </r>
    <phoneticPr fontId="1"/>
  </si>
  <si>
    <r>
      <t>0.26t-CO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/t</t>
    </r>
    <phoneticPr fontId="1"/>
  </si>
  <si>
    <t>機械・電気設備費</t>
    <rPh sb="0" eb="2">
      <t>キカイ</t>
    </rPh>
    <rPh sb="3" eb="5">
      <t>デンキ</t>
    </rPh>
    <rPh sb="5" eb="8">
      <t>セツビヒ</t>
    </rPh>
    <phoneticPr fontId="1"/>
  </si>
  <si>
    <t>維持管理費（消耗品費：ポリシャー、薬品費）</t>
    <rPh sb="0" eb="2">
      <t>イジ</t>
    </rPh>
    <rPh sb="2" eb="4">
      <t>カンリ</t>
    </rPh>
    <rPh sb="4" eb="5">
      <t>ヒ</t>
    </rPh>
    <rPh sb="6" eb="9">
      <t>ショウモウヒン</t>
    </rPh>
    <rPh sb="9" eb="10">
      <t>ヒ</t>
    </rPh>
    <rPh sb="17" eb="19">
      <t>ヤクヒン</t>
    </rPh>
    <rPh sb="19" eb="20">
      <t>ヒ</t>
    </rPh>
    <phoneticPr fontId="1"/>
  </si>
  <si>
    <t>維持管理費（消耗品費：交換膜費）</t>
    <rPh sb="0" eb="2">
      <t>イジ</t>
    </rPh>
    <rPh sb="2" eb="5">
      <t>カンリヒ</t>
    </rPh>
    <rPh sb="6" eb="9">
      <t>ショウモウヒン</t>
    </rPh>
    <rPh sb="9" eb="10">
      <t>ヒ</t>
    </rPh>
    <rPh sb="11" eb="13">
      <t>コウカン</t>
    </rPh>
    <rPh sb="13" eb="14">
      <t>マク</t>
    </rPh>
    <rPh sb="14" eb="15">
      <t>ヒ</t>
    </rPh>
    <phoneticPr fontId="1"/>
  </si>
  <si>
    <t>維持管理費（消耗品費：フィルター費）</t>
    <rPh sb="0" eb="2">
      <t>イジ</t>
    </rPh>
    <rPh sb="2" eb="5">
      <t>カンリヒ</t>
    </rPh>
    <rPh sb="6" eb="9">
      <t>ショウモウヒン</t>
    </rPh>
    <rPh sb="9" eb="10">
      <t>ヒ</t>
    </rPh>
    <rPh sb="16" eb="17">
      <t>ヒ</t>
    </rPh>
    <phoneticPr fontId="1"/>
  </si>
  <si>
    <t>維持管理費（消耗品費：活性炭交換費）</t>
    <rPh sb="0" eb="2">
      <t>イジ</t>
    </rPh>
    <rPh sb="2" eb="5">
      <t>カンリヒ</t>
    </rPh>
    <rPh sb="6" eb="8">
      <t>ショウモウ</t>
    </rPh>
    <rPh sb="8" eb="9">
      <t>ヒン</t>
    </rPh>
    <rPh sb="9" eb="10">
      <t>ヒ</t>
    </rPh>
    <rPh sb="11" eb="14">
      <t>カッセイタン</t>
    </rPh>
    <rPh sb="14" eb="16">
      <t>コウカン</t>
    </rPh>
    <rPh sb="16" eb="17">
      <t>ヒ</t>
    </rPh>
    <phoneticPr fontId="1"/>
  </si>
  <si>
    <r>
      <t>kg</t>
    </r>
    <r>
      <rPr>
        <sz val="11"/>
        <rFont val="游ゴシック"/>
        <family val="3"/>
        <charset val="128"/>
        <scheme val="minor"/>
      </rPr>
      <t>-CO</t>
    </r>
    <r>
      <rPr>
        <vertAlign val="subscript"/>
        <sz val="11"/>
        <rFont val="游ゴシック"/>
        <family val="3"/>
        <charset val="128"/>
        <scheme val="minor"/>
      </rPr>
      <t>2</t>
    </r>
    <r>
      <rPr>
        <sz val="11"/>
        <rFont val="游ゴシック"/>
        <family val="3"/>
        <charset val="128"/>
        <scheme val="minor"/>
      </rPr>
      <t>/m</t>
    </r>
    <r>
      <rPr>
        <vertAlign val="superscript"/>
        <sz val="11"/>
        <rFont val="游ゴシック"/>
        <family val="3"/>
        <charset val="128"/>
        <scheme val="minor"/>
      </rPr>
      <t>3</t>
    </r>
    <phoneticPr fontId="1"/>
  </si>
  <si>
    <r>
      <t>kg-CO</t>
    </r>
    <r>
      <rPr>
        <vertAlign val="subscript"/>
        <sz val="11"/>
        <rFont val="游ゴシック"/>
        <family val="3"/>
        <charset val="128"/>
        <scheme val="minor"/>
      </rPr>
      <t>2</t>
    </r>
    <r>
      <rPr>
        <sz val="11"/>
        <rFont val="游ゴシック"/>
        <family val="3"/>
        <charset val="128"/>
        <scheme val="minor"/>
      </rPr>
      <t>/m</t>
    </r>
    <r>
      <rPr>
        <vertAlign val="superscript"/>
        <sz val="11"/>
        <rFont val="游ゴシック"/>
        <family val="3"/>
        <charset val="128"/>
        <scheme val="minor"/>
      </rPr>
      <t>3</t>
    </r>
    <phoneticPr fontId="1"/>
  </si>
  <si>
    <t>MJ/L</t>
    <phoneticPr fontId="1"/>
  </si>
  <si>
    <r>
      <t>設備費及び維持管理費　下水バイオガス原料による水素創エネ技術（CO</t>
    </r>
    <r>
      <rPr>
        <vertAlign val="subscript"/>
        <sz val="20"/>
        <color theme="1"/>
        <rFont val="游ゴシック"/>
        <family val="3"/>
        <charset val="128"/>
        <scheme val="minor"/>
      </rPr>
      <t>2</t>
    </r>
    <r>
      <rPr>
        <sz val="20"/>
        <color theme="1"/>
        <rFont val="游ゴシック"/>
        <family val="2"/>
        <charset val="128"/>
        <scheme val="minor"/>
      </rPr>
      <t>液化回収設備なしの場合）</t>
    </r>
    <rPh sb="0" eb="3">
      <t>セツビヒ</t>
    </rPh>
    <rPh sb="3" eb="4">
      <t>オヨ</t>
    </rPh>
    <rPh sb="5" eb="7">
      <t>イジ</t>
    </rPh>
    <rPh sb="7" eb="10">
      <t>カンリヒ</t>
    </rPh>
    <rPh sb="11" eb="13">
      <t>ゲスイ</t>
    </rPh>
    <rPh sb="18" eb="20">
      <t>ゲンリョウ</t>
    </rPh>
    <rPh sb="23" eb="25">
      <t>スイソ</t>
    </rPh>
    <rPh sb="25" eb="26">
      <t>ソウ</t>
    </rPh>
    <rPh sb="28" eb="30">
      <t>ギジュツ</t>
    </rPh>
    <rPh sb="34" eb="36">
      <t>エキカ</t>
    </rPh>
    <rPh sb="36" eb="38">
      <t>カイシュウ</t>
    </rPh>
    <rPh sb="38" eb="40">
      <t>セツビ</t>
    </rPh>
    <rPh sb="43" eb="45">
      <t>バアイ</t>
    </rPh>
    <phoneticPr fontId="1"/>
  </si>
  <si>
    <t>機械・電気設備費</t>
    <rPh sb="0" eb="2">
      <t>キカイ</t>
    </rPh>
    <rPh sb="3" eb="5">
      <t>デンキ</t>
    </rPh>
    <rPh sb="5" eb="7">
      <t>セツビ</t>
    </rPh>
    <rPh sb="7" eb="8">
      <t>ヒ</t>
    </rPh>
    <phoneticPr fontId="1"/>
  </si>
  <si>
    <r>
      <t>Y</t>
    </r>
    <r>
      <rPr>
        <sz val="11"/>
        <color theme="1"/>
        <rFont val="游ゴシック"/>
        <family val="2"/>
        <charset val="128"/>
        <scheme val="minor"/>
      </rPr>
      <t>=1.308X+458.3</t>
    </r>
    <phoneticPr fontId="1"/>
  </si>
  <si>
    <r>
      <t>Y</t>
    </r>
    <r>
      <rPr>
        <sz val="11"/>
        <color theme="1"/>
        <rFont val="游ゴシック"/>
        <family val="2"/>
        <charset val="128"/>
        <scheme val="minor"/>
      </rPr>
      <t>=0.1667X+77.0</t>
    </r>
    <phoneticPr fontId="1"/>
  </si>
  <si>
    <t>ー</t>
    <phoneticPr fontId="1"/>
  </si>
  <si>
    <t>③＝①＋②</t>
    <phoneticPr fontId="1"/>
  </si>
  <si>
    <r>
      <t>Y</t>
    </r>
    <r>
      <rPr>
        <sz val="11"/>
        <color theme="1"/>
        <rFont val="游ゴシック"/>
        <family val="2"/>
        <charset val="128"/>
        <scheme val="minor"/>
      </rPr>
      <t>=（90.008X+4,455.3）/1000</t>
    </r>
    <phoneticPr fontId="1"/>
  </si>
  <si>
    <r>
      <t>Y</t>
    </r>
    <r>
      <rPr>
        <sz val="11"/>
        <color theme="1"/>
        <rFont val="游ゴシック"/>
        <family val="2"/>
        <charset val="128"/>
        <scheme val="minor"/>
      </rPr>
      <t>=（8.575X+187.3）/1000</t>
    </r>
    <phoneticPr fontId="1"/>
  </si>
  <si>
    <t>Y=（8.4167X）/1000</t>
    <phoneticPr fontId="1"/>
  </si>
  <si>
    <t>Y=（7.367X）/1000</t>
    <phoneticPr fontId="1"/>
  </si>
  <si>
    <t>Y=（15.450X+24,660）/1000</t>
    <phoneticPr fontId="1"/>
  </si>
  <si>
    <t>Y=16.167X-64.0</t>
    <phoneticPr fontId="1"/>
  </si>
  <si>
    <t>⑬</t>
    <phoneticPr fontId="1"/>
  </si>
  <si>
    <t>収益</t>
    <rPh sb="0" eb="2">
      <t>シュウエキ</t>
    </rPh>
    <phoneticPr fontId="1"/>
  </si>
  <si>
    <t>－</t>
    <phoneticPr fontId="1"/>
  </si>
  <si>
    <t>費用関数</t>
    <phoneticPr fontId="1"/>
  </si>
  <si>
    <t>備考</t>
    <phoneticPr fontId="1"/>
  </si>
  <si>
    <t>Y=3.783X-202.0</t>
    <phoneticPr fontId="1"/>
  </si>
  <si>
    <t>21.4km/L</t>
    <phoneticPr fontId="1"/>
  </si>
  <si>
    <t>－</t>
    <phoneticPr fontId="1"/>
  </si>
  <si>
    <t>－</t>
    <phoneticPr fontId="1"/>
  </si>
  <si>
    <r>
      <t>0.579kg-CO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/kWh</t>
    </r>
    <phoneticPr fontId="1"/>
  </si>
  <si>
    <r>
      <t>0.26t-CO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/t</t>
    </r>
    <phoneticPr fontId="1"/>
  </si>
  <si>
    <t>⑭＝⑬-⑫</t>
    <phoneticPr fontId="1"/>
  </si>
  <si>
    <t>⑮＝③/⑭</t>
    <phoneticPr fontId="1"/>
  </si>
  <si>
    <r>
      <t>⑯　X：消化ガス量（Nm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/h)</t>
    </r>
    <rPh sb="4" eb="6">
      <t>ショウカ</t>
    </rPh>
    <rPh sb="8" eb="9">
      <t>リョウ</t>
    </rPh>
    <phoneticPr fontId="1"/>
  </si>
  <si>
    <r>
      <t>12.1km/Nm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phoneticPr fontId="1"/>
  </si>
  <si>
    <r>
      <t>0.0020t-CO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/m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phoneticPr fontId="1"/>
  </si>
  <si>
    <r>
      <t>12.1km/Nm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phoneticPr fontId="1"/>
  </si>
  <si>
    <r>
      <t>0.0020t-CO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/m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phoneticPr fontId="1"/>
  </si>
  <si>
    <t>Y=25.97X-2,139</t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</si>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</sst>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 "/>
    <numFmt numFmtId="177" formatCode="0.0%"/>
    <numFmt numFmtId="178" formatCode="#,##0_ "/>
    <numFmt numFmtId="179" formatCode="0.0_ 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vertAlign val="superscript"/>
      <sz val="1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  <scheme val="minor"/>
    </font>
    <font>
      <vertAlign val="subscript"/>
      <sz val="11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vertAlign val="superscript"/>
      <sz val="12"/>
      <color theme="1"/>
      <name val="游ゴシック"/>
      <family val="3"/>
      <charset val="128"/>
      <scheme val="minor"/>
    </font>
    <font>
      <vertAlign val="subscript"/>
      <sz val="11"/>
      <color theme="1"/>
      <name val="游ゴシック"/>
      <family val="3"/>
      <charset val="128"/>
      <scheme val="minor"/>
    </font>
    <font>
      <vertAlign val="subscript"/>
      <sz val="2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4F9FE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vertical="center"/>
    </xf>
    <xf numFmtId="178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8" fontId="7" fillId="0" borderId="5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176" fontId="0" fillId="0" borderId="0" xfId="0" applyNumberFormat="1" applyBorder="1" applyAlignment="1">
      <alignment horizontal="center" vertical="center"/>
    </xf>
    <xf numFmtId="179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76" fontId="0" fillId="0" borderId="1" xfId="0" applyNumberForma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76" fontId="6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176" fontId="0" fillId="2" borderId="1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9" fontId="0" fillId="0" borderId="1" xfId="0" applyNumberFormat="1" applyFill="1" applyBorder="1" applyAlignment="1">
      <alignment horizontal="center" vertical="center"/>
    </xf>
    <xf numFmtId="178" fontId="7" fillId="4" borderId="5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178" fontId="0" fillId="0" borderId="0" xfId="0" applyNumberForma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6" fontId="0" fillId="0" borderId="5" xfId="0" applyNumberFormat="1" applyBorder="1" applyAlignment="1">
      <alignment horizontal="left" vertical="center" wrapText="1"/>
    </xf>
    <xf numFmtId="176" fontId="0" fillId="0" borderId="6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76" fontId="0" fillId="0" borderId="5" xfId="0" applyNumberFormat="1" applyBorder="1" applyAlignment="1">
      <alignment horizontal="center" vertical="center"/>
    </xf>
    <xf numFmtId="179" fontId="0" fillId="0" borderId="5" xfId="0" applyNumberFormat="1" applyFill="1" applyBorder="1" applyAlignment="1">
      <alignment horizontal="center" vertical="center"/>
    </xf>
    <xf numFmtId="179" fontId="0" fillId="0" borderId="6" xfId="0" applyNumberFormat="1" applyFill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4F9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2057400</xdr:colOff>
      <xdr:row>9</xdr:row>
      <xdr:rowOff>152400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8353425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3</xdr:col>
      <xdr:colOff>201146</xdr:colOff>
      <xdr:row>0</xdr:row>
      <xdr:rowOff>120463</xdr:rowOff>
    </xdr:from>
    <xdr:to>
      <xdr:col>4</xdr:col>
      <xdr:colOff>352425</xdr:colOff>
      <xdr:row>0</xdr:row>
      <xdr:rowOff>392206</xdr:rowOff>
    </xdr:to>
    <xdr:grpSp>
      <xdr:nvGrpSpPr>
        <xdr:cNvPr id="3" name="グループ化 2"/>
        <xdr:cNvGrpSpPr/>
      </xdr:nvGrpSpPr>
      <xdr:grpSpPr>
        <a:xfrm>
          <a:off x="2632822" y="120463"/>
          <a:ext cx="3076015" cy="271743"/>
          <a:chOff x="2763371" y="120093"/>
          <a:chExt cx="3075454" cy="276225"/>
        </a:xfrm>
      </xdr:grpSpPr>
      <xdr:sp macro="" textlink="">
        <xdr:nvSpPr>
          <xdr:cNvPr id="4" name="正方形/長方形 3"/>
          <xdr:cNvSpPr/>
        </xdr:nvSpPr>
        <xdr:spPr>
          <a:xfrm>
            <a:off x="2763371" y="184336"/>
            <a:ext cx="493059" cy="156882"/>
          </a:xfrm>
          <a:prstGeom prst="rect">
            <a:avLst/>
          </a:prstGeom>
          <a:solidFill>
            <a:srgbClr val="D4F9FE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3305175" y="120093"/>
            <a:ext cx="2533650" cy="2762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41148" rIns="0" bIns="0" anchor="t" upright="1"/>
          <a:lstStyle/>
          <a:p>
            <a:pPr algn="l" rtl="0">
              <a:lnSpc>
                <a:spcPts val="17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游ゴシック"/>
                <a:ea typeface="游ゴシック"/>
              </a:rPr>
              <a:t>：手入力</a:t>
            </a:r>
            <a:endParaRPr lang="en-US" altLang="ja-JP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endParaRPr>
          </a:p>
          <a:p>
            <a:pPr algn="l" rtl="0">
              <a:lnSpc>
                <a:spcPts val="17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2057400</xdr:colOff>
      <xdr:row>9</xdr:row>
      <xdr:rowOff>152400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835342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3</xdr:col>
      <xdr:colOff>201146</xdr:colOff>
      <xdr:row>0</xdr:row>
      <xdr:rowOff>120463</xdr:rowOff>
    </xdr:from>
    <xdr:to>
      <xdr:col>4</xdr:col>
      <xdr:colOff>352425</xdr:colOff>
      <xdr:row>0</xdr:row>
      <xdr:rowOff>392206</xdr:rowOff>
    </xdr:to>
    <xdr:grpSp>
      <xdr:nvGrpSpPr>
        <xdr:cNvPr id="3" name="グループ化 2"/>
        <xdr:cNvGrpSpPr/>
      </xdr:nvGrpSpPr>
      <xdr:grpSpPr>
        <a:xfrm>
          <a:off x="2632822" y="120463"/>
          <a:ext cx="3076015" cy="271743"/>
          <a:chOff x="2763371" y="120093"/>
          <a:chExt cx="3075454" cy="276225"/>
        </a:xfrm>
      </xdr:grpSpPr>
      <xdr:sp macro="" textlink="">
        <xdr:nvSpPr>
          <xdr:cNvPr id="4" name="正方形/長方形 3"/>
          <xdr:cNvSpPr/>
        </xdr:nvSpPr>
        <xdr:spPr>
          <a:xfrm>
            <a:off x="2763371" y="184336"/>
            <a:ext cx="493059" cy="156882"/>
          </a:xfrm>
          <a:prstGeom prst="rect">
            <a:avLst/>
          </a:prstGeom>
          <a:solidFill>
            <a:srgbClr val="D4F9FE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3305175" y="120093"/>
            <a:ext cx="2533650" cy="2762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41148" rIns="0" bIns="0" anchor="t" upright="1"/>
          <a:lstStyle/>
          <a:p>
            <a:pPr algn="l" rtl="0">
              <a:lnSpc>
                <a:spcPts val="17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游ゴシック"/>
                <a:ea typeface="游ゴシック"/>
              </a:rPr>
              <a:t>：手入力</a:t>
            </a:r>
            <a:endParaRPr lang="en-US" altLang="ja-JP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endParaRPr>
          </a:p>
          <a:p>
            <a:pPr algn="l" rtl="0">
              <a:lnSpc>
                <a:spcPts val="17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8"/>
  <sheetViews>
    <sheetView showGridLines="0" tabSelected="1" topLeftCell="B1" zoomScale="85" zoomScaleNormal="85" zoomScaleSheetLayoutView="100" workbookViewId="0">
      <selection activeCell="D2" sqref="D2"/>
    </sheetView>
  </sheetViews>
  <sheetFormatPr defaultRowHeight="18.75" x14ac:dyDescent="0.4"/>
  <cols>
    <col min="1" max="1" width="1.625" style="4" customWidth="1"/>
    <col min="2" max="2" width="11" style="4" customWidth="1"/>
    <col min="3" max="3" width="19.25" style="4" bestFit="1" customWidth="1"/>
    <col min="4" max="4" width="38.375" style="4" customWidth="1"/>
    <col min="5" max="5" width="12.375" style="4" customWidth="1"/>
    <col min="6" max="6" width="27.625" style="4" customWidth="1"/>
    <col min="7" max="7" width="24.625" style="17" customWidth="1"/>
    <col min="8" max="8" width="22.5" style="4" bestFit="1" customWidth="1"/>
    <col min="9" max="9" width="37.75" style="4" bestFit="1" customWidth="1"/>
    <col min="10" max="10" width="3.625" style="4" customWidth="1"/>
    <col min="11" max="11" width="11.875" style="20" customWidth="1"/>
    <col min="12" max="12" width="8.5" style="20" customWidth="1"/>
    <col min="13" max="13" width="16.125" style="20" customWidth="1"/>
    <col min="14" max="14" width="16.875" style="20" customWidth="1"/>
    <col min="15" max="15" width="1.625" style="4" customWidth="1"/>
    <col min="16" max="17" width="19.25" style="4" hidden="1" customWidth="1"/>
    <col min="18" max="18" width="8.625" style="4" hidden="1" customWidth="1"/>
    <col min="19" max="19" width="21.375" style="4" hidden="1" customWidth="1"/>
    <col min="20" max="20" width="11.625" style="4" hidden="1" customWidth="1"/>
    <col min="21" max="16384" width="9" style="4"/>
  </cols>
  <sheetData>
    <row r="1" spans="2:21" s="17" customFormat="1" ht="33" x14ac:dyDescent="0.4">
      <c r="B1" s="13" t="s">
        <v>20</v>
      </c>
      <c r="D1" s="26"/>
      <c r="I1" s="97"/>
      <c r="J1" s="97"/>
      <c r="K1" s="20"/>
      <c r="L1" s="20"/>
      <c r="M1" s="20"/>
      <c r="N1" s="20"/>
    </row>
    <row r="2" spans="2:21" s="17" customFormat="1" ht="20.25" x14ac:dyDescent="0.4">
      <c r="B2" s="119" t="s">
        <v>97</v>
      </c>
      <c r="C2" s="119"/>
      <c r="D2" s="39"/>
      <c r="F2" s="48" t="s">
        <v>38</v>
      </c>
      <c r="G2" s="44">
        <v>345</v>
      </c>
      <c r="H2" s="28"/>
      <c r="I2" s="96"/>
      <c r="J2" s="96"/>
      <c r="K2" s="20"/>
      <c r="L2" s="20"/>
      <c r="M2" s="20"/>
      <c r="N2" s="20"/>
    </row>
    <row r="3" spans="2:21" s="17" customFormat="1" x14ac:dyDescent="0.4">
      <c r="B3" s="119" t="s">
        <v>35</v>
      </c>
      <c r="C3" s="119"/>
      <c r="D3" s="24"/>
      <c r="F3" s="48" t="s">
        <v>39</v>
      </c>
      <c r="G3" s="44">
        <v>15</v>
      </c>
      <c r="H3" s="28"/>
      <c r="I3" s="29"/>
      <c r="K3" s="20"/>
      <c r="L3" s="20"/>
      <c r="M3" s="20"/>
      <c r="N3" s="20"/>
      <c r="P3" s="41"/>
      <c r="Q3" s="98" t="s">
        <v>24</v>
      </c>
      <c r="R3" s="99"/>
      <c r="S3" s="98" t="s">
        <v>25</v>
      </c>
      <c r="T3" s="99"/>
    </row>
    <row r="4" spans="2:21" s="17" customFormat="1" ht="20.25" x14ac:dyDescent="0.4">
      <c r="B4" s="119" t="s">
        <v>36</v>
      </c>
      <c r="C4" s="119"/>
      <c r="D4" s="47">
        <v>57.4</v>
      </c>
      <c r="F4" s="48" t="s">
        <v>40</v>
      </c>
      <c r="G4" s="44">
        <v>290</v>
      </c>
      <c r="H4" s="40"/>
      <c r="I4" s="84"/>
      <c r="K4" s="20"/>
      <c r="L4" s="20"/>
      <c r="M4" s="20"/>
      <c r="N4" s="20"/>
      <c r="P4" s="41" t="s">
        <v>21</v>
      </c>
      <c r="Q4" s="41">
        <v>44.8</v>
      </c>
      <c r="R4" s="41" t="s">
        <v>27</v>
      </c>
      <c r="S4" s="27">
        <v>2.23</v>
      </c>
      <c r="T4" s="27" t="s">
        <v>31</v>
      </c>
      <c r="U4" s="42"/>
    </row>
    <row r="5" spans="2:21" s="17" customFormat="1" ht="20.25" x14ac:dyDescent="0.4">
      <c r="B5" s="119" t="s">
        <v>99</v>
      </c>
      <c r="C5" s="119"/>
      <c r="D5" s="24">
        <v>42.6</v>
      </c>
      <c r="F5" s="48" t="s">
        <v>101</v>
      </c>
      <c r="G5" s="44">
        <v>100</v>
      </c>
      <c r="H5" s="32"/>
      <c r="I5" s="32"/>
      <c r="K5" s="20"/>
      <c r="L5" s="20"/>
      <c r="M5" s="20"/>
      <c r="N5" s="20"/>
      <c r="P5" s="41" t="s">
        <v>23</v>
      </c>
      <c r="Q5" s="41">
        <v>0</v>
      </c>
      <c r="R5" s="41" t="s">
        <v>28</v>
      </c>
      <c r="S5" s="30">
        <v>0</v>
      </c>
      <c r="T5" s="30" t="s">
        <v>32</v>
      </c>
    </row>
    <row r="6" spans="2:21" s="17" customFormat="1" ht="21.75" x14ac:dyDescent="0.4">
      <c r="B6" s="119" t="s">
        <v>98</v>
      </c>
      <c r="C6" s="119"/>
      <c r="D6" s="45">
        <v>72</v>
      </c>
      <c r="F6" s="46" t="s">
        <v>102</v>
      </c>
      <c r="G6" s="44">
        <v>120</v>
      </c>
      <c r="H6" s="79"/>
      <c r="I6" s="81"/>
      <c r="J6" s="100"/>
      <c r="K6" s="100"/>
      <c r="L6" s="82"/>
      <c r="M6" s="20"/>
      <c r="N6" s="20"/>
      <c r="O6" s="1"/>
      <c r="P6" s="41" t="s">
        <v>22</v>
      </c>
      <c r="Q6" s="41">
        <v>36.700000000000003</v>
      </c>
      <c r="R6" s="41" t="s">
        <v>26</v>
      </c>
      <c r="S6" s="30">
        <v>2.4900000000000002</v>
      </c>
      <c r="T6" s="30" t="s">
        <v>33</v>
      </c>
    </row>
    <row r="7" spans="2:21" s="17" customFormat="1" ht="20.25" x14ac:dyDescent="0.4">
      <c r="B7" s="119" t="s">
        <v>100</v>
      </c>
      <c r="C7" s="119"/>
      <c r="D7" s="45" t="s">
        <v>37</v>
      </c>
      <c r="F7" s="30"/>
      <c r="G7" s="44"/>
      <c r="H7" s="80"/>
      <c r="I7" s="81"/>
      <c r="J7" s="100"/>
      <c r="K7" s="100"/>
      <c r="L7" s="82"/>
      <c r="M7" s="20"/>
      <c r="N7" s="20"/>
      <c r="P7" s="41" t="s">
        <v>29</v>
      </c>
      <c r="Q7" s="41">
        <v>39.1</v>
      </c>
      <c r="R7" s="41" t="s">
        <v>26</v>
      </c>
      <c r="S7" s="30">
        <v>2.71</v>
      </c>
      <c r="T7" s="30" t="s">
        <v>34</v>
      </c>
    </row>
    <row r="8" spans="2:21" s="17" customFormat="1" x14ac:dyDescent="0.4">
      <c r="B8" s="125"/>
      <c r="C8" s="125"/>
      <c r="F8" s="33"/>
      <c r="G8" s="43"/>
      <c r="H8" s="31"/>
      <c r="I8" s="33"/>
      <c r="K8" s="20"/>
      <c r="L8" s="20"/>
      <c r="M8" s="20"/>
      <c r="N8" s="20"/>
    </row>
    <row r="9" spans="2:21" s="17" customFormat="1" x14ac:dyDescent="0.4">
      <c r="E9" s="17" t="s">
        <v>165</v>
      </c>
      <c r="F9" s="1"/>
      <c r="K9" s="20"/>
      <c r="L9" s="20"/>
      <c r="M9" s="20"/>
      <c r="N9" s="20"/>
    </row>
    <row r="10" spans="2:21" ht="36" x14ac:dyDescent="0.4">
      <c r="B10" s="13" t="s">
        <v>103</v>
      </c>
      <c r="O10" s="34"/>
      <c r="P10" s="21"/>
      <c r="Q10" s="21"/>
      <c r="R10" s="21"/>
    </row>
    <row r="11" spans="2:21" x14ac:dyDescent="0.4">
      <c r="B11" s="6" t="s">
        <v>7</v>
      </c>
      <c r="C11" s="6" t="s">
        <v>9</v>
      </c>
      <c r="D11" s="6" t="s">
        <v>8</v>
      </c>
      <c r="E11" s="6" t="s">
        <v>12</v>
      </c>
      <c r="F11" s="98" t="s">
        <v>15</v>
      </c>
      <c r="G11" s="99"/>
      <c r="H11" s="6" t="s">
        <v>5</v>
      </c>
      <c r="I11" s="6" t="s">
        <v>6</v>
      </c>
      <c r="K11" s="103"/>
      <c r="L11" s="103"/>
      <c r="O11" s="21"/>
      <c r="P11" s="21"/>
      <c r="Q11" s="21"/>
      <c r="R11" s="21"/>
    </row>
    <row r="12" spans="2:21" ht="19.5" customHeight="1" x14ac:dyDescent="0.4">
      <c r="B12" s="130" t="s">
        <v>2</v>
      </c>
      <c r="C12" s="107" t="s">
        <v>51</v>
      </c>
      <c r="D12" s="10" t="s">
        <v>126</v>
      </c>
      <c r="E12" s="6" t="s">
        <v>14</v>
      </c>
      <c r="F12" s="101" t="s">
        <v>43</v>
      </c>
      <c r="G12" s="102"/>
      <c r="H12" s="84">
        <f>ROUND(1.558*D2+540.7,0)</f>
        <v>541</v>
      </c>
      <c r="I12" s="12" t="s">
        <v>104</v>
      </c>
      <c r="K12" s="72"/>
      <c r="L12" s="72"/>
      <c r="O12" s="37"/>
      <c r="P12" s="37"/>
      <c r="Q12" s="21"/>
      <c r="R12" s="21"/>
    </row>
    <row r="13" spans="2:21" ht="19.5" customHeight="1" x14ac:dyDescent="0.4">
      <c r="B13" s="131"/>
      <c r="C13" s="107"/>
      <c r="D13" s="10" t="s">
        <v>42</v>
      </c>
      <c r="E13" s="6" t="s">
        <v>14</v>
      </c>
      <c r="F13" s="101" t="s">
        <v>41</v>
      </c>
      <c r="G13" s="102"/>
      <c r="H13" s="19">
        <f>ROUND(0.1917*D2+91.3,0)</f>
        <v>91</v>
      </c>
      <c r="I13" s="12" t="s">
        <v>105</v>
      </c>
      <c r="K13" s="77"/>
      <c r="L13" s="72"/>
      <c r="O13" s="106"/>
      <c r="P13" s="106"/>
      <c r="Q13" s="9"/>
      <c r="R13" s="21"/>
    </row>
    <row r="14" spans="2:21" ht="19.5" customHeight="1" x14ac:dyDescent="0.4">
      <c r="B14" s="131"/>
      <c r="C14" s="107"/>
      <c r="D14" s="53" t="s">
        <v>4</v>
      </c>
      <c r="E14" s="53" t="s">
        <v>14</v>
      </c>
      <c r="F14" s="126" t="s">
        <v>16</v>
      </c>
      <c r="G14" s="127"/>
      <c r="H14" s="61">
        <f>+H12+H13</f>
        <v>632</v>
      </c>
      <c r="I14" s="62" t="s">
        <v>46</v>
      </c>
      <c r="K14" s="38"/>
      <c r="L14" s="38"/>
      <c r="O14" s="106"/>
      <c r="P14" s="106"/>
      <c r="Q14" s="35"/>
      <c r="R14" s="21"/>
    </row>
    <row r="15" spans="2:21" s="51" customFormat="1" ht="19.5" customHeight="1" x14ac:dyDescent="0.4">
      <c r="B15" s="131"/>
      <c r="C15" s="107"/>
      <c r="D15" s="52" t="s">
        <v>8</v>
      </c>
      <c r="E15" s="52" t="s">
        <v>12</v>
      </c>
      <c r="F15" s="98" t="s">
        <v>15</v>
      </c>
      <c r="G15" s="99"/>
      <c r="H15" s="52" t="s">
        <v>52</v>
      </c>
      <c r="I15" s="52" t="s">
        <v>6</v>
      </c>
      <c r="K15" s="38"/>
      <c r="L15" s="38"/>
      <c r="O15" s="55"/>
      <c r="P15" s="55"/>
      <c r="Q15" s="35"/>
      <c r="R15" s="21"/>
    </row>
    <row r="16" spans="2:21" s="20" customFormat="1" ht="19.5" customHeight="1" x14ac:dyDescent="0.4">
      <c r="B16" s="131"/>
      <c r="C16" s="107"/>
      <c r="D16" s="63" t="s">
        <v>45</v>
      </c>
      <c r="E16" s="50" t="s">
        <v>54</v>
      </c>
      <c r="F16" s="101" t="s">
        <v>55</v>
      </c>
      <c r="G16" s="102"/>
      <c r="H16" s="49">
        <f>ROUND((109.42*D2+5367.7)/1000,1)</f>
        <v>5.4</v>
      </c>
      <c r="I16" s="12" t="s">
        <v>106</v>
      </c>
      <c r="K16" s="106"/>
      <c r="L16" s="106"/>
      <c r="O16" s="37"/>
      <c r="P16" s="37"/>
      <c r="Q16" s="36"/>
      <c r="R16" s="21"/>
    </row>
    <row r="17" spans="2:18" ht="19.5" customHeight="1" x14ac:dyDescent="0.4">
      <c r="B17" s="131"/>
      <c r="C17" s="107"/>
      <c r="D17" s="12" t="s">
        <v>44</v>
      </c>
      <c r="E17" s="57" t="s">
        <v>54</v>
      </c>
      <c r="F17" s="101" t="s">
        <v>56</v>
      </c>
      <c r="G17" s="102"/>
      <c r="H17" s="66">
        <f>ROUND((9.4*D2+187)/1000,1)</f>
        <v>0.2</v>
      </c>
      <c r="I17" s="12" t="s">
        <v>107</v>
      </c>
      <c r="K17" s="72"/>
      <c r="L17" s="72"/>
      <c r="O17" s="106"/>
      <c r="P17" s="106"/>
      <c r="Q17" s="9"/>
      <c r="R17" s="21"/>
    </row>
    <row r="18" spans="2:18" s="20" customFormat="1" ht="19.5" customHeight="1" x14ac:dyDescent="0.4">
      <c r="B18" s="131"/>
      <c r="C18" s="107"/>
      <c r="D18" s="12" t="s">
        <v>127</v>
      </c>
      <c r="E18" s="57" t="s">
        <v>54</v>
      </c>
      <c r="F18" s="104" t="s">
        <v>57</v>
      </c>
      <c r="G18" s="105"/>
      <c r="H18" s="109">
        <f>ROUND(((9.025*D2+0.7)+(1.583*D2+648.3)+(8.358*D2-0.3)+(5.142*D2+789.7))/1000,1)</f>
        <v>1.4</v>
      </c>
      <c r="I18" s="12" t="s">
        <v>108</v>
      </c>
      <c r="K18" s="72"/>
      <c r="L18" s="72"/>
      <c r="O18" s="37"/>
      <c r="P18" s="37"/>
      <c r="Q18" s="9"/>
      <c r="R18" s="21"/>
    </row>
    <row r="19" spans="2:18" ht="19.5" customHeight="1" x14ac:dyDescent="0.4">
      <c r="B19" s="131"/>
      <c r="C19" s="107"/>
      <c r="D19" s="65" t="s">
        <v>128</v>
      </c>
      <c r="E19" s="57" t="s">
        <v>54</v>
      </c>
      <c r="F19" s="104" t="s">
        <v>58</v>
      </c>
      <c r="G19" s="105"/>
      <c r="H19" s="110"/>
      <c r="I19" s="12" t="s">
        <v>109</v>
      </c>
      <c r="K19" s="108"/>
      <c r="L19" s="106"/>
      <c r="O19" s="38"/>
      <c r="P19" s="38"/>
      <c r="Q19" s="9"/>
      <c r="R19" s="7"/>
    </row>
    <row r="20" spans="2:18" ht="19.5" customHeight="1" x14ac:dyDescent="0.4">
      <c r="B20" s="131"/>
      <c r="C20" s="107"/>
      <c r="D20" s="12" t="s">
        <v>129</v>
      </c>
      <c r="E20" s="57" t="s">
        <v>54</v>
      </c>
      <c r="F20" s="104" t="s">
        <v>59</v>
      </c>
      <c r="G20" s="105"/>
      <c r="H20" s="110"/>
      <c r="I20" s="12" t="s">
        <v>110</v>
      </c>
      <c r="K20" s="108"/>
      <c r="L20" s="106"/>
      <c r="Q20" s="9"/>
      <c r="R20" s="7"/>
    </row>
    <row r="21" spans="2:18" s="20" customFormat="1" ht="19.5" customHeight="1" x14ac:dyDescent="0.4">
      <c r="B21" s="131"/>
      <c r="C21" s="107"/>
      <c r="D21" s="12" t="s">
        <v>130</v>
      </c>
      <c r="E21" s="57" t="s">
        <v>54</v>
      </c>
      <c r="F21" s="104" t="s">
        <v>60</v>
      </c>
      <c r="G21" s="105"/>
      <c r="H21" s="111"/>
      <c r="I21" s="12" t="s">
        <v>111</v>
      </c>
      <c r="K21" s="78"/>
      <c r="L21" s="72"/>
      <c r="Q21" s="9"/>
      <c r="R21" s="21"/>
    </row>
    <row r="22" spans="2:18" s="20" customFormat="1" ht="19.5" customHeight="1" x14ac:dyDescent="0.4">
      <c r="B22" s="131"/>
      <c r="C22" s="107"/>
      <c r="D22" s="12" t="s">
        <v>47</v>
      </c>
      <c r="E22" s="57" t="s">
        <v>54</v>
      </c>
      <c r="F22" s="104" t="s">
        <v>61</v>
      </c>
      <c r="G22" s="105"/>
      <c r="H22" s="54">
        <f>ROUND((7000*2)/1000,1)</f>
        <v>14</v>
      </c>
      <c r="I22" s="67" t="s">
        <v>48</v>
      </c>
      <c r="K22" s="21"/>
      <c r="L22" s="21"/>
      <c r="Q22" s="9"/>
      <c r="R22" s="21"/>
    </row>
    <row r="23" spans="2:18" ht="19.5" customHeight="1" x14ac:dyDescent="0.4">
      <c r="B23" s="131"/>
      <c r="C23" s="107"/>
      <c r="D23" s="64" t="s">
        <v>49</v>
      </c>
      <c r="E23" s="57" t="s">
        <v>54</v>
      </c>
      <c r="F23" s="104" t="s">
        <v>62</v>
      </c>
      <c r="G23" s="105"/>
      <c r="H23" s="66">
        <f>ROUND((19.058*D2+26874)/1000,1)</f>
        <v>26.9</v>
      </c>
      <c r="I23" s="12" t="s">
        <v>112</v>
      </c>
      <c r="O23" s="14"/>
      <c r="P23" s="2"/>
      <c r="Q23" s="2"/>
      <c r="R23" s="7"/>
    </row>
    <row r="24" spans="2:18" s="20" customFormat="1" ht="19.5" customHeight="1" x14ac:dyDescent="0.4">
      <c r="B24" s="132"/>
      <c r="C24" s="107"/>
      <c r="D24" s="53" t="s">
        <v>3</v>
      </c>
      <c r="E24" s="53" t="s">
        <v>54</v>
      </c>
      <c r="F24" s="126" t="s">
        <v>16</v>
      </c>
      <c r="G24" s="127"/>
      <c r="H24" s="68">
        <f>SUM(H16:H23)</f>
        <v>47.9</v>
      </c>
      <c r="I24" s="62" t="s">
        <v>50</v>
      </c>
      <c r="K24" s="76"/>
      <c r="L24" s="72"/>
      <c r="O24" s="14"/>
      <c r="P24" s="2"/>
      <c r="Q24" s="2"/>
      <c r="R24" s="21"/>
    </row>
    <row r="25" spans="2:18" s="25" customFormat="1" ht="19.5" customHeight="1" x14ac:dyDescent="0.4"/>
    <row r="26" spans="2:18" ht="33" x14ac:dyDescent="0.4">
      <c r="B26" s="13" t="s">
        <v>53</v>
      </c>
    </row>
    <row r="27" spans="2:18" ht="19.5" customHeight="1" x14ac:dyDescent="0.4">
      <c r="B27" s="112" t="s">
        <v>8</v>
      </c>
      <c r="C27" s="112"/>
      <c r="D27" s="112"/>
      <c r="E27" s="6" t="s">
        <v>12</v>
      </c>
      <c r="F27" s="98" t="s">
        <v>15</v>
      </c>
      <c r="G27" s="99"/>
      <c r="H27" s="15" t="s">
        <v>66</v>
      </c>
      <c r="I27" s="56" t="s">
        <v>6</v>
      </c>
    </row>
    <row r="28" spans="2:18" ht="19.5" customHeight="1" x14ac:dyDescent="0.4">
      <c r="B28" s="119" t="s">
        <v>0</v>
      </c>
      <c r="C28" s="119"/>
      <c r="D28" s="22" t="s">
        <v>63</v>
      </c>
      <c r="E28" s="6" t="s">
        <v>10</v>
      </c>
      <c r="F28" s="123" t="s">
        <v>67</v>
      </c>
      <c r="G28" s="124"/>
      <c r="H28" s="19">
        <f>H14</f>
        <v>632</v>
      </c>
      <c r="I28" s="18" t="s">
        <v>19</v>
      </c>
    </row>
    <row r="29" spans="2:18" ht="19.5" customHeight="1" x14ac:dyDescent="0.4">
      <c r="B29" s="119" t="s">
        <v>1</v>
      </c>
      <c r="C29" s="119"/>
      <c r="D29" s="22" t="s">
        <v>1</v>
      </c>
      <c r="E29" s="56" t="s">
        <v>11</v>
      </c>
      <c r="F29" s="120" t="s">
        <v>68</v>
      </c>
      <c r="G29" s="99"/>
      <c r="H29" s="73">
        <f>H24</f>
        <v>47.9</v>
      </c>
      <c r="I29" s="18" t="s">
        <v>69</v>
      </c>
    </row>
    <row r="30" spans="2:18" s="60" customFormat="1" ht="19.5" customHeight="1" x14ac:dyDescent="0.4">
      <c r="B30" s="113" t="s">
        <v>65</v>
      </c>
      <c r="C30" s="114"/>
      <c r="D30" s="58" t="s">
        <v>64</v>
      </c>
      <c r="E30" s="59" t="s">
        <v>113</v>
      </c>
      <c r="F30" s="104" t="s">
        <v>70</v>
      </c>
      <c r="G30" s="105"/>
      <c r="H30" s="19">
        <f>ROUND(17.342*D2-68.3,0)</f>
        <v>-68</v>
      </c>
      <c r="I30" s="12" t="s">
        <v>118</v>
      </c>
    </row>
    <row r="31" spans="2:18" s="60" customFormat="1" ht="38.25" customHeight="1" x14ac:dyDescent="0.4">
      <c r="B31" s="115"/>
      <c r="C31" s="116"/>
      <c r="D31" s="58" t="s">
        <v>65</v>
      </c>
      <c r="E31" s="56" t="s">
        <v>11</v>
      </c>
      <c r="F31" s="117" t="s">
        <v>116</v>
      </c>
      <c r="G31" s="118"/>
      <c r="H31" s="56">
        <f>ROUND(H30*G2*G5*10^(-6),1)</f>
        <v>-2.2999999999999998</v>
      </c>
      <c r="I31" s="18" t="s">
        <v>71</v>
      </c>
    </row>
    <row r="32" spans="2:18" s="60" customFormat="1" ht="19.5" customHeight="1" x14ac:dyDescent="0.4">
      <c r="B32" s="113" t="s">
        <v>114</v>
      </c>
      <c r="C32" s="114"/>
      <c r="D32" s="58" t="s">
        <v>115</v>
      </c>
      <c r="E32" s="59" t="s">
        <v>72</v>
      </c>
      <c r="F32" s="104" t="s">
        <v>73</v>
      </c>
      <c r="G32" s="105"/>
      <c r="H32" s="19">
        <f>ROUND(8.633*D2,0)</f>
        <v>0</v>
      </c>
      <c r="I32" s="12" t="s">
        <v>118</v>
      </c>
    </row>
    <row r="33" spans="2:18" s="60" customFormat="1" ht="39" customHeight="1" x14ac:dyDescent="0.4">
      <c r="B33" s="115"/>
      <c r="C33" s="116"/>
      <c r="D33" s="58" t="s">
        <v>114</v>
      </c>
      <c r="E33" s="56" t="s">
        <v>11</v>
      </c>
      <c r="F33" s="117" t="s">
        <v>117</v>
      </c>
      <c r="G33" s="118"/>
      <c r="H33" s="56">
        <f>ROUND(H32*G2*G6*10^(-6),1)</f>
        <v>0</v>
      </c>
      <c r="I33" s="18" t="s">
        <v>74</v>
      </c>
    </row>
    <row r="34" spans="2:18" ht="19.5" customHeight="1" x14ac:dyDescent="0.4">
      <c r="B34" s="119" t="s">
        <v>147</v>
      </c>
      <c r="C34" s="119"/>
      <c r="D34" s="22" t="s">
        <v>75</v>
      </c>
      <c r="E34" s="56" t="s">
        <v>11</v>
      </c>
      <c r="F34" s="120" t="s">
        <v>76</v>
      </c>
      <c r="G34" s="99"/>
      <c r="H34" s="73">
        <f>H31+H33-H29</f>
        <v>-50.199999999999996</v>
      </c>
      <c r="I34" s="18" t="s">
        <v>77</v>
      </c>
    </row>
    <row r="35" spans="2:18" ht="39" customHeight="1" x14ac:dyDescent="0.4">
      <c r="B35" s="133" t="s">
        <v>53</v>
      </c>
      <c r="C35" s="134"/>
      <c r="D35" s="134"/>
      <c r="E35" s="8" t="s">
        <v>13</v>
      </c>
      <c r="F35" s="121" t="s">
        <v>68</v>
      </c>
      <c r="G35" s="122"/>
      <c r="H35" s="74">
        <f>ROUND(H28/H34,1)</f>
        <v>-12.6</v>
      </c>
      <c r="I35" s="58" t="s">
        <v>78</v>
      </c>
    </row>
    <row r="36" spans="2:18" ht="19.5" customHeight="1" x14ac:dyDescent="0.4"/>
    <row r="37" spans="2:18" ht="33" x14ac:dyDescent="0.4">
      <c r="B37" s="13" t="s">
        <v>79</v>
      </c>
    </row>
    <row r="38" spans="2:18" ht="19.5" customHeight="1" x14ac:dyDescent="0.4">
      <c r="B38" s="112" t="s">
        <v>8</v>
      </c>
      <c r="C38" s="112"/>
      <c r="D38" s="112"/>
      <c r="E38" s="6" t="s">
        <v>12</v>
      </c>
      <c r="F38" s="98" t="s">
        <v>18</v>
      </c>
      <c r="G38" s="99"/>
      <c r="H38" s="5" t="s">
        <v>79</v>
      </c>
      <c r="I38" s="6" t="s">
        <v>17</v>
      </c>
    </row>
    <row r="39" spans="2:18" ht="39" customHeight="1" x14ac:dyDescent="0.4">
      <c r="B39" s="128" t="s">
        <v>79</v>
      </c>
      <c r="C39" s="129"/>
      <c r="D39" s="129"/>
      <c r="E39" s="44" t="s">
        <v>80</v>
      </c>
      <c r="F39" s="104" t="s">
        <v>81</v>
      </c>
      <c r="G39" s="105"/>
      <c r="H39" s="75">
        <f>ROUND(27.04*D2-2155,0)</f>
        <v>-2155</v>
      </c>
      <c r="I39" s="12" t="s">
        <v>119</v>
      </c>
      <c r="P39" s="1" t="s">
        <v>30</v>
      </c>
    </row>
    <row r="40" spans="2:18" ht="19.5" customHeight="1" x14ac:dyDescent="0.4"/>
    <row r="41" spans="2:18" ht="33" customHeight="1" x14ac:dyDescent="0.4">
      <c r="B41" s="13" t="s">
        <v>82</v>
      </c>
    </row>
    <row r="42" spans="2:18" ht="19.5" customHeight="1" x14ac:dyDescent="0.4">
      <c r="B42" s="112" t="s">
        <v>8</v>
      </c>
      <c r="C42" s="112"/>
      <c r="D42" s="112"/>
      <c r="E42" s="6" t="s">
        <v>12</v>
      </c>
      <c r="F42" s="98" t="s">
        <v>18</v>
      </c>
      <c r="G42" s="99"/>
      <c r="H42" s="5" t="s">
        <v>84</v>
      </c>
      <c r="I42" s="6" t="s">
        <v>6</v>
      </c>
      <c r="K42" s="138" t="s">
        <v>85</v>
      </c>
      <c r="L42" s="138"/>
      <c r="M42" s="138"/>
      <c r="N42" s="138"/>
    </row>
    <row r="43" spans="2:18" ht="39" customHeight="1" x14ac:dyDescent="0.4">
      <c r="B43" s="139" t="s">
        <v>82</v>
      </c>
      <c r="C43" s="140"/>
      <c r="D43" s="140"/>
      <c r="E43" s="16" t="s">
        <v>120</v>
      </c>
      <c r="F43" s="104" t="s">
        <v>83</v>
      </c>
      <c r="G43" s="105"/>
      <c r="H43" s="23">
        <f>ROUND(3.558*D2-239.3,0)</f>
        <v>-239</v>
      </c>
      <c r="I43" s="12" t="s">
        <v>121</v>
      </c>
      <c r="K43" s="83" t="s">
        <v>86</v>
      </c>
      <c r="L43" s="69"/>
      <c r="M43" s="11" t="s">
        <v>92</v>
      </c>
      <c r="N43" s="71" t="s">
        <v>93</v>
      </c>
      <c r="Q43" s="3"/>
      <c r="R43" s="1"/>
    </row>
    <row r="44" spans="2:18" ht="20.25" x14ac:dyDescent="0.4">
      <c r="K44" s="83" t="s">
        <v>87</v>
      </c>
      <c r="L44" s="69"/>
      <c r="M44" s="71" t="s">
        <v>94</v>
      </c>
      <c r="N44" s="71" t="s">
        <v>160</v>
      </c>
    </row>
    <row r="45" spans="2:18" ht="20.25" x14ac:dyDescent="0.4">
      <c r="K45" s="135" t="s">
        <v>122</v>
      </c>
      <c r="L45" s="12" t="s">
        <v>88</v>
      </c>
      <c r="M45" s="71" t="s">
        <v>123</v>
      </c>
      <c r="N45" s="71" t="s">
        <v>95</v>
      </c>
    </row>
    <row r="46" spans="2:18" ht="20.25" x14ac:dyDescent="0.4">
      <c r="K46" s="136"/>
      <c r="L46" s="12" t="s">
        <v>89</v>
      </c>
      <c r="M46" s="71" t="s">
        <v>95</v>
      </c>
      <c r="N46" s="70" t="s">
        <v>124</v>
      </c>
    </row>
    <row r="47" spans="2:18" ht="20.25" x14ac:dyDescent="0.4">
      <c r="K47" s="136"/>
      <c r="L47" s="12" t="s">
        <v>90</v>
      </c>
      <c r="M47" s="71" t="s">
        <v>96</v>
      </c>
      <c r="N47" s="70" t="s">
        <v>161</v>
      </c>
    </row>
    <row r="48" spans="2:18" ht="20.25" x14ac:dyDescent="0.4">
      <c r="K48" s="137"/>
      <c r="L48" s="12" t="s">
        <v>91</v>
      </c>
      <c r="M48" s="71" t="s">
        <v>95</v>
      </c>
      <c r="N48" s="70" t="s">
        <v>125</v>
      </c>
    </row>
  </sheetData>
  <mergeCells count="63">
    <mergeCell ref="F43:G43"/>
    <mergeCell ref="F42:G42"/>
    <mergeCell ref="K45:K48"/>
    <mergeCell ref="K42:N42"/>
    <mergeCell ref="B28:C28"/>
    <mergeCell ref="B43:D43"/>
    <mergeCell ref="B3:C3"/>
    <mergeCell ref="B4:C4"/>
    <mergeCell ref="B5:C5"/>
    <mergeCell ref="B6:C6"/>
    <mergeCell ref="B7:C7"/>
    <mergeCell ref="B8:C8"/>
    <mergeCell ref="B42:D42"/>
    <mergeCell ref="B2:C2"/>
    <mergeCell ref="F11:G11"/>
    <mergeCell ref="F23:G23"/>
    <mergeCell ref="F12:G12"/>
    <mergeCell ref="F13:G13"/>
    <mergeCell ref="F14:G14"/>
    <mergeCell ref="B39:D39"/>
    <mergeCell ref="F20:G20"/>
    <mergeCell ref="F21:G21"/>
    <mergeCell ref="F22:G22"/>
    <mergeCell ref="F24:G24"/>
    <mergeCell ref="B34:C34"/>
    <mergeCell ref="B12:B24"/>
    <mergeCell ref="B35:D35"/>
    <mergeCell ref="B27:D27"/>
    <mergeCell ref="F39:G39"/>
    <mergeCell ref="F30:G30"/>
    <mergeCell ref="B30:C31"/>
    <mergeCell ref="F31:G31"/>
    <mergeCell ref="B32:C33"/>
    <mergeCell ref="F32:G32"/>
    <mergeCell ref="F33:G33"/>
    <mergeCell ref="B29:C29"/>
    <mergeCell ref="B38:D38"/>
    <mergeCell ref="F29:G29"/>
    <mergeCell ref="F34:G34"/>
    <mergeCell ref="F35:G35"/>
    <mergeCell ref="F38:G38"/>
    <mergeCell ref="F27:G27"/>
    <mergeCell ref="F28:G28"/>
    <mergeCell ref="F18:G18"/>
    <mergeCell ref="F19:G19"/>
    <mergeCell ref="O17:P17"/>
    <mergeCell ref="C12:C24"/>
    <mergeCell ref="O13:P13"/>
    <mergeCell ref="O14:P14"/>
    <mergeCell ref="K19:K20"/>
    <mergeCell ref="K16:L16"/>
    <mergeCell ref="L19:L20"/>
    <mergeCell ref="H18:H21"/>
    <mergeCell ref="J7:K7"/>
    <mergeCell ref="F16:G16"/>
    <mergeCell ref="F15:G15"/>
    <mergeCell ref="K11:L11"/>
    <mergeCell ref="F17:G17"/>
    <mergeCell ref="I2:J2"/>
    <mergeCell ref="I1:J1"/>
    <mergeCell ref="Q3:R3"/>
    <mergeCell ref="S3:T3"/>
    <mergeCell ref="J6:K6"/>
  </mergeCells>
  <phoneticPr fontId="1"/>
  <pageMargins left="0.70866141732283472" right="0.70866141732283472" top="0.74803149606299213" bottom="0.74803149606299213" header="0.31496062992125984" footer="0.31496062992125984"/>
  <pageSetup paperSize="8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6"/>
  <sheetViews>
    <sheetView showGridLines="0" topLeftCell="C1" zoomScale="85" zoomScaleNormal="85" zoomScaleSheetLayoutView="100" workbookViewId="0">
      <selection activeCell="D2" sqref="D2"/>
    </sheetView>
  </sheetViews>
  <sheetFormatPr defaultRowHeight="18.75" x14ac:dyDescent="0.4"/>
  <cols>
    <col min="1" max="1" width="1.625" style="93" customWidth="1"/>
    <col min="2" max="2" width="11" style="93" customWidth="1"/>
    <col min="3" max="3" width="19.25" style="93" bestFit="1" customWidth="1"/>
    <col min="4" max="4" width="38.375" style="93" customWidth="1"/>
    <col min="5" max="5" width="12.375" style="93" customWidth="1"/>
    <col min="6" max="6" width="27.625" style="93" customWidth="1"/>
    <col min="7" max="7" width="24.625" style="93" customWidth="1"/>
    <col min="8" max="8" width="22.5" style="93" bestFit="1" customWidth="1"/>
    <col min="9" max="9" width="37.75" style="93" bestFit="1" customWidth="1"/>
    <col min="10" max="10" width="3.625" style="93" customWidth="1"/>
    <col min="11" max="11" width="11.875" style="93" customWidth="1"/>
    <col min="12" max="12" width="8.5" style="93" customWidth="1"/>
    <col min="13" max="13" width="16.125" style="93" customWidth="1"/>
    <col min="14" max="14" width="16.875" style="93" customWidth="1"/>
    <col min="15" max="15" width="1.625" style="93" customWidth="1"/>
    <col min="16" max="17" width="19.25" style="93" hidden="1" customWidth="1"/>
    <col min="18" max="18" width="8.625" style="93" hidden="1" customWidth="1"/>
    <col min="19" max="19" width="21.375" style="93" hidden="1" customWidth="1"/>
    <col min="20" max="20" width="11.625" style="93" hidden="1" customWidth="1"/>
    <col min="21" max="16384" width="9" style="93"/>
  </cols>
  <sheetData>
    <row r="1" spans="2:21" ht="33" x14ac:dyDescent="0.4">
      <c r="B1" s="13" t="s">
        <v>20</v>
      </c>
      <c r="D1" s="26"/>
    </row>
    <row r="2" spans="2:21" ht="20.25" x14ac:dyDescent="0.4">
      <c r="B2" s="119" t="s">
        <v>97</v>
      </c>
      <c r="C2" s="119"/>
      <c r="D2" s="39"/>
      <c r="F2" s="48" t="s">
        <v>38</v>
      </c>
      <c r="G2" s="44">
        <v>345</v>
      </c>
      <c r="H2" s="28"/>
      <c r="I2" s="85"/>
    </row>
    <row r="3" spans="2:21" x14ac:dyDescent="0.4">
      <c r="B3" s="119" t="s">
        <v>35</v>
      </c>
      <c r="C3" s="119"/>
      <c r="D3" s="24"/>
      <c r="F3" s="48" t="s">
        <v>39</v>
      </c>
      <c r="G3" s="44">
        <v>15</v>
      </c>
      <c r="H3" s="28"/>
      <c r="I3" s="85"/>
      <c r="P3" s="91"/>
      <c r="Q3" s="98" t="s">
        <v>24</v>
      </c>
      <c r="R3" s="99"/>
      <c r="S3" s="98" t="s">
        <v>25</v>
      </c>
      <c r="T3" s="99"/>
    </row>
    <row r="4" spans="2:21" ht="20.25" x14ac:dyDescent="0.4">
      <c r="B4" s="119" t="s">
        <v>36</v>
      </c>
      <c r="C4" s="119"/>
      <c r="D4" s="47">
        <v>57.4</v>
      </c>
      <c r="F4" s="48" t="s">
        <v>40</v>
      </c>
      <c r="G4" s="44">
        <v>290</v>
      </c>
      <c r="H4" s="40"/>
      <c r="I4" s="40"/>
      <c r="P4" s="91" t="s">
        <v>21</v>
      </c>
      <c r="Q4" s="91">
        <v>44.8</v>
      </c>
      <c r="R4" s="91" t="s">
        <v>28</v>
      </c>
      <c r="S4" s="27">
        <v>2.23</v>
      </c>
      <c r="T4" s="27" t="s">
        <v>131</v>
      </c>
      <c r="U4" s="42"/>
    </row>
    <row r="5" spans="2:21" ht="20.25" x14ac:dyDescent="0.4">
      <c r="B5" s="119" t="s">
        <v>99</v>
      </c>
      <c r="C5" s="119"/>
      <c r="D5" s="24">
        <v>42.6</v>
      </c>
      <c r="F5" s="48" t="s">
        <v>101</v>
      </c>
      <c r="G5" s="44">
        <v>100</v>
      </c>
      <c r="H5" s="32"/>
      <c r="I5" s="32"/>
      <c r="P5" s="91" t="s">
        <v>23</v>
      </c>
      <c r="Q5" s="91">
        <v>0</v>
      </c>
      <c r="R5" s="91" t="s">
        <v>28</v>
      </c>
      <c r="S5" s="30">
        <v>0</v>
      </c>
      <c r="T5" s="30" t="s">
        <v>132</v>
      </c>
    </row>
    <row r="6" spans="2:21" ht="21.75" x14ac:dyDescent="0.4">
      <c r="B6" s="119" t="s">
        <v>98</v>
      </c>
      <c r="C6" s="119"/>
      <c r="D6" s="45">
        <v>72</v>
      </c>
      <c r="F6" s="46"/>
      <c r="G6" s="44"/>
      <c r="H6" s="79"/>
      <c r="I6" s="81"/>
      <c r="J6" s="100"/>
      <c r="K6" s="100"/>
      <c r="L6" s="82"/>
      <c r="O6" s="1"/>
      <c r="P6" s="91" t="s">
        <v>22</v>
      </c>
      <c r="Q6" s="91">
        <v>36.700000000000003</v>
      </c>
      <c r="R6" s="91" t="s">
        <v>133</v>
      </c>
      <c r="S6" s="30">
        <v>2.4900000000000002</v>
      </c>
      <c r="T6" s="30" t="s">
        <v>34</v>
      </c>
    </row>
    <row r="7" spans="2:21" ht="20.25" x14ac:dyDescent="0.4">
      <c r="B7" s="119" t="s">
        <v>100</v>
      </c>
      <c r="C7" s="119"/>
      <c r="D7" s="45" t="s">
        <v>37</v>
      </c>
      <c r="F7" s="30"/>
      <c r="G7" s="44"/>
      <c r="H7" s="80"/>
      <c r="I7" s="81"/>
      <c r="J7" s="100"/>
      <c r="K7" s="100"/>
      <c r="L7" s="82"/>
      <c r="P7" s="91" t="s">
        <v>29</v>
      </c>
      <c r="Q7" s="91">
        <v>39.1</v>
      </c>
      <c r="R7" s="91" t="s">
        <v>26</v>
      </c>
      <c r="S7" s="30">
        <v>2.71</v>
      </c>
      <c r="T7" s="30" t="s">
        <v>34</v>
      </c>
    </row>
    <row r="8" spans="2:21" x14ac:dyDescent="0.4">
      <c r="B8" s="125"/>
      <c r="C8" s="125"/>
      <c r="F8" s="33"/>
      <c r="G8" s="43"/>
      <c r="H8" s="31"/>
      <c r="I8" s="33"/>
    </row>
    <row r="9" spans="2:21" x14ac:dyDescent="0.4">
      <c r="F9" s="1"/>
    </row>
    <row r="10" spans="2:21" ht="36" x14ac:dyDescent="0.4">
      <c r="B10" s="13" t="s">
        <v>134</v>
      </c>
      <c r="O10" s="34"/>
      <c r="P10" s="88"/>
      <c r="Q10" s="88"/>
      <c r="R10" s="88"/>
    </row>
    <row r="11" spans="2:21" x14ac:dyDescent="0.4">
      <c r="B11" s="91" t="s">
        <v>7</v>
      </c>
      <c r="C11" s="91" t="s">
        <v>9</v>
      </c>
      <c r="D11" s="91" t="s">
        <v>8</v>
      </c>
      <c r="E11" s="91" t="s">
        <v>12</v>
      </c>
      <c r="F11" s="98" t="s">
        <v>15</v>
      </c>
      <c r="G11" s="99"/>
      <c r="H11" s="91" t="s">
        <v>5</v>
      </c>
      <c r="I11" s="91" t="s">
        <v>6</v>
      </c>
      <c r="K11" s="103"/>
      <c r="L11" s="103"/>
      <c r="O11" s="88"/>
      <c r="P11" s="88"/>
      <c r="Q11" s="88"/>
      <c r="R11" s="88"/>
    </row>
    <row r="12" spans="2:21" ht="19.5" customHeight="1" x14ac:dyDescent="0.4">
      <c r="B12" s="130" t="s">
        <v>2</v>
      </c>
      <c r="C12" s="107" t="s">
        <v>51</v>
      </c>
      <c r="D12" s="92" t="s">
        <v>135</v>
      </c>
      <c r="E12" s="91" t="s">
        <v>14</v>
      </c>
      <c r="F12" s="101" t="s">
        <v>136</v>
      </c>
      <c r="G12" s="102"/>
      <c r="H12" s="19">
        <f>ROUND(1.308*D2+458.3,0)</f>
        <v>458</v>
      </c>
      <c r="I12" s="12" t="s">
        <v>104</v>
      </c>
      <c r="K12" s="89"/>
      <c r="L12" s="89"/>
      <c r="O12" s="89"/>
      <c r="P12" s="89"/>
      <c r="Q12" s="88"/>
      <c r="R12" s="88"/>
    </row>
    <row r="13" spans="2:21" ht="19.5" customHeight="1" x14ac:dyDescent="0.4">
      <c r="B13" s="131"/>
      <c r="C13" s="107"/>
      <c r="D13" s="92" t="s">
        <v>42</v>
      </c>
      <c r="E13" s="91" t="s">
        <v>14</v>
      </c>
      <c r="F13" s="101" t="s">
        <v>137</v>
      </c>
      <c r="G13" s="102"/>
      <c r="H13" s="19">
        <f>ROUND(0.1667*D2+77,0)</f>
        <v>77</v>
      </c>
      <c r="I13" s="12" t="s">
        <v>105</v>
      </c>
      <c r="K13" s="77"/>
      <c r="L13" s="89"/>
      <c r="O13" s="106"/>
      <c r="P13" s="106"/>
      <c r="Q13" s="9"/>
      <c r="R13" s="88"/>
    </row>
    <row r="14" spans="2:21" ht="19.5" customHeight="1" x14ac:dyDescent="0.4">
      <c r="B14" s="131"/>
      <c r="C14" s="107"/>
      <c r="D14" s="53" t="s">
        <v>4</v>
      </c>
      <c r="E14" s="53" t="s">
        <v>14</v>
      </c>
      <c r="F14" s="126" t="s">
        <v>138</v>
      </c>
      <c r="G14" s="127"/>
      <c r="H14" s="61">
        <f>+H12+H13</f>
        <v>535</v>
      </c>
      <c r="I14" s="62" t="s">
        <v>139</v>
      </c>
      <c r="K14" s="38"/>
      <c r="L14" s="38"/>
      <c r="O14" s="106"/>
      <c r="P14" s="106"/>
      <c r="Q14" s="35"/>
      <c r="R14" s="88"/>
    </row>
    <row r="15" spans="2:21" ht="19.5" customHeight="1" x14ac:dyDescent="0.4">
      <c r="B15" s="131"/>
      <c r="C15" s="107"/>
      <c r="D15" s="91" t="s">
        <v>8</v>
      </c>
      <c r="E15" s="91" t="s">
        <v>12</v>
      </c>
      <c r="F15" s="98" t="s">
        <v>15</v>
      </c>
      <c r="G15" s="99"/>
      <c r="H15" s="91" t="s">
        <v>52</v>
      </c>
      <c r="I15" s="91" t="s">
        <v>6</v>
      </c>
      <c r="K15" s="38"/>
      <c r="L15" s="38"/>
      <c r="O15" s="89"/>
      <c r="P15" s="89"/>
      <c r="Q15" s="35"/>
      <c r="R15" s="88"/>
    </row>
    <row r="16" spans="2:21" ht="19.5" customHeight="1" x14ac:dyDescent="0.4">
      <c r="B16" s="131"/>
      <c r="C16" s="107"/>
      <c r="D16" s="63" t="s">
        <v>45</v>
      </c>
      <c r="E16" s="57" t="s">
        <v>54</v>
      </c>
      <c r="F16" s="101" t="s">
        <v>140</v>
      </c>
      <c r="G16" s="102"/>
      <c r="H16" s="95">
        <f>ROUND((90.008*D2+4455.3)/1000,1)</f>
        <v>4.5</v>
      </c>
      <c r="I16" s="12" t="s">
        <v>106</v>
      </c>
      <c r="K16" s="106"/>
      <c r="L16" s="106"/>
      <c r="O16" s="89"/>
      <c r="P16" s="89"/>
      <c r="Q16" s="36"/>
      <c r="R16" s="88"/>
    </row>
    <row r="17" spans="2:18" ht="19.5" customHeight="1" x14ac:dyDescent="0.4">
      <c r="B17" s="131"/>
      <c r="C17" s="107"/>
      <c r="D17" s="12" t="s">
        <v>44</v>
      </c>
      <c r="E17" s="57" t="s">
        <v>54</v>
      </c>
      <c r="F17" s="101" t="s">
        <v>141</v>
      </c>
      <c r="G17" s="102"/>
      <c r="H17" s="66">
        <f>ROUND((8.575*D2+187.3)/1000,1)</f>
        <v>0.2</v>
      </c>
      <c r="I17" s="12" t="s">
        <v>107</v>
      </c>
      <c r="K17" s="89"/>
      <c r="L17" s="89"/>
      <c r="O17" s="106"/>
      <c r="P17" s="106"/>
      <c r="Q17" s="9"/>
      <c r="R17" s="88"/>
    </row>
    <row r="18" spans="2:18" ht="19.5" customHeight="1" x14ac:dyDescent="0.4">
      <c r="B18" s="131"/>
      <c r="C18" s="107"/>
      <c r="D18" s="12" t="s">
        <v>127</v>
      </c>
      <c r="E18" s="57" t="s">
        <v>54</v>
      </c>
      <c r="F18" s="104" t="s">
        <v>142</v>
      </c>
      <c r="G18" s="105"/>
      <c r="H18" s="109">
        <f>ROUND(((8.4167*D2)+(1.583*D2+648.3)+(7.367*D2)+(5.142*D2+789.7))/1000,1)</f>
        <v>1.4</v>
      </c>
      <c r="I18" s="12" t="s">
        <v>108</v>
      </c>
      <c r="K18" s="89"/>
      <c r="L18" s="89"/>
      <c r="O18" s="89"/>
      <c r="P18" s="89"/>
      <c r="Q18" s="9"/>
      <c r="R18" s="88"/>
    </row>
    <row r="19" spans="2:18" ht="19.5" customHeight="1" x14ac:dyDescent="0.4">
      <c r="B19" s="131"/>
      <c r="C19" s="107"/>
      <c r="D19" s="65" t="s">
        <v>128</v>
      </c>
      <c r="E19" s="57" t="s">
        <v>54</v>
      </c>
      <c r="F19" s="104" t="s">
        <v>58</v>
      </c>
      <c r="G19" s="105"/>
      <c r="H19" s="110"/>
      <c r="I19" s="12" t="s">
        <v>109</v>
      </c>
      <c r="K19" s="108"/>
      <c r="L19" s="106"/>
      <c r="O19" s="38"/>
      <c r="P19" s="38"/>
      <c r="Q19" s="9"/>
      <c r="R19" s="88"/>
    </row>
    <row r="20" spans="2:18" ht="19.5" customHeight="1" x14ac:dyDescent="0.4">
      <c r="B20" s="131"/>
      <c r="C20" s="107"/>
      <c r="D20" s="12" t="s">
        <v>129</v>
      </c>
      <c r="E20" s="57" t="s">
        <v>54</v>
      </c>
      <c r="F20" s="104" t="s">
        <v>143</v>
      </c>
      <c r="G20" s="105"/>
      <c r="H20" s="110"/>
      <c r="I20" s="12" t="s">
        <v>110</v>
      </c>
      <c r="K20" s="108"/>
      <c r="L20" s="106"/>
      <c r="Q20" s="9"/>
      <c r="R20" s="88"/>
    </row>
    <row r="21" spans="2:18" ht="19.5" customHeight="1" x14ac:dyDescent="0.4">
      <c r="B21" s="131"/>
      <c r="C21" s="107"/>
      <c r="D21" s="12" t="s">
        <v>130</v>
      </c>
      <c r="E21" s="57" t="s">
        <v>54</v>
      </c>
      <c r="F21" s="104" t="s">
        <v>60</v>
      </c>
      <c r="G21" s="105"/>
      <c r="H21" s="111"/>
      <c r="I21" s="12" t="s">
        <v>111</v>
      </c>
      <c r="K21" s="90"/>
      <c r="L21" s="89"/>
      <c r="Q21" s="9"/>
      <c r="R21" s="88"/>
    </row>
    <row r="22" spans="2:18" ht="19.5" customHeight="1" x14ac:dyDescent="0.4">
      <c r="B22" s="131"/>
      <c r="C22" s="107"/>
      <c r="D22" s="12" t="s">
        <v>47</v>
      </c>
      <c r="E22" s="57" t="s">
        <v>54</v>
      </c>
      <c r="F22" s="104" t="s">
        <v>61</v>
      </c>
      <c r="G22" s="105"/>
      <c r="H22" s="54">
        <f>ROUND((7000*2)/1000,1)</f>
        <v>14</v>
      </c>
      <c r="I22" s="67" t="s">
        <v>48</v>
      </c>
      <c r="K22" s="88"/>
      <c r="L22" s="88"/>
      <c r="Q22" s="9"/>
      <c r="R22" s="88"/>
    </row>
    <row r="23" spans="2:18" ht="19.5" customHeight="1" x14ac:dyDescent="0.4">
      <c r="B23" s="131"/>
      <c r="C23" s="107"/>
      <c r="D23" s="64" t="s">
        <v>49</v>
      </c>
      <c r="E23" s="57" t="s">
        <v>54</v>
      </c>
      <c r="F23" s="104" t="s">
        <v>144</v>
      </c>
      <c r="G23" s="105"/>
      <c r="H23" s="66">
        <f>ROUND((15.45*D2+24660)/1000,1)</f>
        <v>24.7</v>
      </c>
      <c r="I23" s="12" t="s">
        <v>112</v>
      </c>
      <c r="O23" s="14"/>
      <c r="P23" s="89"/>
      <c r="Q23" s="89"/>
      <c r="R23" s="88"/>
    </row>
    <row r="24" spans="2:18" ht="19.5" customHeight="1" x14ac:dyDescent="0.4">
      <c r="B24" s="132"/>
      <c r="C24" s="107"/>
      <c r="D24" s="53" t="s">
        <v>3</v>
      </c>
      <c r="E24" s="53" t="s">
        <v>54</v>
      </c>
      <c r="F24" s="126" t="s">
        <v>16</v>
      </c>
      <c r="G24" s="127"/>
      <c r="H24" s="68">
        <f>SUM(H16:H23)</f>
        <v>44.8</v>
      </c>
      <c r="I24" s="62" t="s">
        <v>50</v>
      </c>
      <c r="K24" s="76"/>
      <c r="L24" s="89"/>
      <c r="O24" s="14"/>
      <c r="P24" s="89"/>
      <c r="Q24" s="89"/>
      <c r="R24" s="88"/>
    </row>
    <row r="25" spans="2:18" ht="19.5" customHeight="1" x14ac:dyDescent="0.4"/>
    <row r="26" spans="2:18" ht="33" x14ac:dyDescent="0.4">
      <c r="B26" s="13" t="s">
        <v>53</v>
      </c>
    </row>
    <row r="27" spans="2:18" ht="19.5" customHeight="1" x14ac:dyDescent="0.4">
      <c r="B27" s="112" t="s">
        <v>8</v>
      </c>
      <c r="C27" s="112"/>
      <c r="D27" s="112"/>
      <c r="E27" s="91" t="s">
        <v>12</v>
      </c>
      <c r="F27" s="98" t="s">
        <v>15</v>
      </c>
      <c r="G27" s="99"/>
      <c r="H27" s="91" t="s">
        <v>66</v>
      </c>
      <c r="I27" s="91" t="s">
        <v>6</v>
      </c>
    </row>
    <row r="28" spans="2:18" ht="19.5" customHeight="1" x14ac:dyDescent="0.4">
      <c r="B28" s="119" t="s">
        <v>0</v>
      </c>
      <c r="C28" s="119"/>
      <c r="D28" s="92" t="s">
        <v>63</v>
      </c>
      <c r="E28" s="91" t="s">
        <v>10</v>
      </c>
      <c r="F28" s="123" t="s">
        <v>67</v>
      </c>
      <c r="G28" s="124"/>
      <c r="H28" s="19">
        <f>H14</f>
        <v>535</v>
      </c>
      <c r="I28" s="18" t="s">
        <v>19</v>
      </c>
    </row>
    <row r="29" spans="2:18" ht="19.5" customHeight="1" x14ac:dyDescent="0.4">
      <c r="B29" s="119" t="s">
        <v>1</v>
      </c>
      <c r="C29" s="119"/>
      <c r="D29" s="92" t="s">
        <v>1</v>
      </c>
      <c r="E29" s="91" t="s">
        <v>11</v>
      </c>
      <c r="F29" s="120" t="s">
        <v>67</v>
      </c>
      <c r="G29" s="99"/>
      <c r="H29" s="73">
        <f>H24</f>
        <v>44.8</v>
      </c>
      <c r="I29" s="18" t="s">
        <v>69</v>
      </c>
    </row>
    <row r="30" spans="2:18" ht="19.5" customHeight="1" x14ac:dyDescent="0.4">
      <c r="B30" s="113" t="s">
        <v>65</v>
      </c>
      <c r="C30" s="114"/>
      <c r="D30" s="92" t="s">
        <v>64</v>
      </c>
      <c r="E30" s="94" t="s">
        <v>113</v>
      </c>
      <c r="F30" s="104" t="s">
        <v>145</v>
      </c>
      <c r="G30" s="105"/>
      <c r="H30" s="19">
        <f>ROUND(16.167*D2-64,0)</f>
        <v>-64</v>
      </c>
      <c r="I30" s="12" t="s">
        <v>118</v>
      </c>
    </row>
    <row r="31" spans="2:18" ht="38.25" customHeight="1" x14ac:dyDescent="0.4">
      <c r="B31" s="115"/>
      <c r="C31" s="116"/>
      <c r="D31" s="92" t="s">
        <v>65</v>
      </c>
      <c r="E31" s="91" t="s">
        <v>11</v>
      </c>
      <c r="F31" s="117" t="s">
        <v>116</v>
      </c>
      <c r="G31" s="118"/>
      <c r="H31" s="91">
        <f>ROUND(H30*G2*G5*10^(-6),1)</f>
        <v>-2.2000000000000002</v>
      </c>
      <c r="I31" s="18" t="s">
        <v>146</v>
      </c>
    </row>
    <row r="32" spans="2:18" ht="19.5" customHeight="1" x14ac:dyDescent="0.4">
      <c r="B32" s="119" t="s">
        <v>147</v>
      </c>
      <c r="C32" s="119"/>
      <c r="D32" s="92" t="s">
        <v>75</v>
      </c>
      <c r="E32" s="91" t="s">
        <v>11</v>
      </c>
      <c r="F32" s="120" t="s">
        <v>67</v>
      </c>
      <c r="G32" s="99"/>
      <c r="H32" s="73">
        <f>H31-H29</f>
        <v>-47</v>
      </c>
      <c r="I32" s="18" t="s">
        <v>157</v>
      </c>
    </row>
    <row r="33" spans="2:18" ht="39" customHeight="1" x14ac:dyDescent="0.4">
      <c r="B33" s="133" t="s">
        <v>53</v>
      </c>
      <c r="C33" s="134"/>
      <c r="D33" s="134"/>
      <c r="E33" s="24" t="s">
        <v>13</v>
      </c>
      <c r="F33" s="121" t="s">
        <v>148</v>
      </c>
      <c r="G33" s="122"/>
      <c r="H33" s="74">
        <f>ROUND(H28/H32,1)</f>
        <v>-11.4</v>
      </c>
      <c r="I33" s="92" t="s">
        <v>158</v>
      </c>
    </row>
    <row r="34" spans="2:18" ht="19.5" customHeight="1" x14ac:dyDescent="0.4"/>
    <row r="35" spans="2:18" ht="33" x14ac:dyDescent="0.4">
      <c r="B35" s="13" t="s">
        <v>79</v>
      </c>
    </row>
    <row r="36" spans="2:18" ht="19.5" customHeight="1" x14ac:dyDescent="0.4">
      <c r="B36" s="112" t="s">
        <v>8</v>
      </c>
      <c r="C36" s="112"/>
      <c r="D36" s="112"/>
      <c r="E36" s="91" t="s">
        <v>12</v>
      </c>
      <c r="F36" s="98" t="s">
        <v>149</v>
      </c>
      <c r="G36" s="99"/>
      <c r="H36" s="86" t="s">
        <v>79</v>
      </c>
      <c r="I36" s="91" t="s">
        <v>150</v>
      </c>
    </row>
    <row r="37" spans="2:18" ht="39" customHeight="1" x14ac:dyDescent="0.4">
      <c r="B37" s="128" t="s">
        <v>79</v>
      </c>
      <c r="C37" s="129"/>
      <c r="D37" s="129"/>
      <c r="E37" s="44" t="s">
        <v>80</v>
      </c>
      <c r="F37" s="104" t="s">
        <v>164</v>
      </c>
      <c r="G37" s="105"/>
      <c r="H37" s="75">
        <f>ROUND(25.97*D2-2139,0)</f>
        <v>-2139</v>
      </c>
      <c r="I37" s="12" t="s">
        <v>159</v>
      </c>
      <c r="P37" s="1" t="s">
        <v>30</v>
      </c>
    </row>
    <row r="38" spans="2:18" ht="19.5" customHeight="1" x14ac:dyDescent="0.4"/>
    <row r="39" spans="2:18" ht="33" customHeight="1" x14ac:dyDescent="0.4">
      <c r="B39" s="13" t="s">
        <v>82</v>
      </c>
    </row>
    <row r="40" spans="2:18" ht="19.5" customHeight="1" x14ac:dyDescent="0.4">
      <c r="B40" s="112" t="s">
        <v>8</v>
      </c>
      <c r="C40" s="112"/>
      <c r="D40" s="112"/>
      <c r="E40" s="91" t="s">
        <v>12</v>
      </c>
      <c r="F40" s="98" t="s">
        <v>149</v>
      </c>
      <c r="G40" s="99"/>
      <c r="H40" s="86" t="s">
        <v>84</v>
      </c>
      <c r="I40" s="91" t="s">
        <v>6</v>
      </c>
      <c r="K40" s="138" t="s">
        <v>85</v>
      </c>
      <c r="L40" s="138"/>
      <c r="M40" s="138"/>
      <c r="N40" s="138"/>
    </row>
    <row r="41" spans="2:18" ht="39" customHeight="1" x14ac:dyDescent="0.4">
      <c r="B41" s="139" t="s">
        <v>82</v>
      </c>
      <c r="C41" s="140"/>
      <c r="D41" s="140"/>
      <c r="E41" s="24" t="s">
        <v>120</v>
      </c>
      <c r="F41" s="104" t="s">
        <v>151</v>
      </c>
      <c r="G41" s="105"/>
      <c r="H41" s="23">
        <f>ROUND(3.783*D2-202,0)</f>
        <v>-202</v>
      </c>
      <c r="I41" s="12" t="s">
        <v>119</v>
      </c>
      <c r="K41" s="83" t="s">
        <v>86</v>
      </c>
      <c r="L41" s="87"/>
      <c r="M41" s="11" t="s">
        <v>92</v>
      </c>
      <c r="N41" s="91" t="s">
        <v>93</v>
      </c>
      <c r="Q41" s="3"/>
      <c r="R41" s="1"/>
    </row>
    <row r="42" spans="2:18" ht="20.25" x14ac:dyDescent="0.4">
      <c r="K42" s="83" t="s">
        <v>87</v>
      </c>
      <c r="L42" s="87"/>
      <c r="M42" s="91" t="s">
        <v>152</v>
      </c>
      <c r="N42" s="91" t="s">
        <v>162</v>
      </c>
    </row>
    <row r="43" spans="2:18" ht="20.25" x14ac:dyDescent="0.4">
      <c r="K43" s="135" t="s">
        <v>122</v>
      </c>
      <c r="L43" s="12" t="s">
        <v>88</v>
      </c>
      <c r="M43" s="91" t="s">
        <v>123</v>
      </c>
      <c r="N43" s="91" t="s">
        <v>153</v>
      </c>
    </row>
    <row r="44" spans="2:18" ht="20.25" x14ac:dyDescent="0.4">
      <c r="K44" s="136"/>
      <c r="L44" s="12" t="s">
        <v>89</v>
      </c>
      <c r="M44" s="91" t="s">
        <v>154</v>
      </c>
      <c r="N44" s="92" t="s">
        <v>155</v>
      </c>
    </row>
    <row r="45" spans="2:18" ht="20.25" x14ac:dyDescent="0.4">
      <c r="K45" s="136"/>
      <c r="L45" s="12" t="s">
        <v>90</v>
      </c>
      <c r="M45" s="91" t="s">
        <v>153</v>
      </c>
      <c r="N45" s="92" t="s">
        <v>163</v>
      </c>
    </row>
    <row r="46" spans="2:18" ht="20.25" x14ac:dyDescent="0.4">
      <c r="K46" s="137"/>
      <c r="L46" s="12" t="s">
        <v>91</v>
      </c>
      <c r="M46" s="91" t="s">
        <v>67</v>
      </c>
      <c r="N46" s="92" t="s">
        <v>156</v>
      </c>
    </row>
  </sheetData>
  <mergeCells count="58">
    <mergeCell ref="S3:T3"/>
    <mergeCell ref="B4:C4"/>
    <mergeCell ref="B5:C5"/>
    <mergeCell ref="F11:G11"/>
    <mergeCell ref="K11:L11"/>
    <mergeCell ref="B7:C7"/>
    <mergeCell ref="J7:K7"/>
    <mergeCell ref="B8:C8"/>
    <mergeCell ref="B2:C2"/>
    <mergeCell ref="B3:C3"/>
    <mergeCell ref="Q3:R3"/>
    <mergeCell ref="B6:C6"/>
    <mergeCell ref="J6:K6"/>
    <mergeCell ref="O13:P13"/>
    <mergeCell ref="F14:G14"/>
    <mergeCell ref="O14:P14"/>
    <mergeCell ref="F15:G15"/>
    <mergeCell ref="F16:G16"/>
    <mergeCell ref="K16:L16"/>
    <mergeCell ref="B29:C29"/>
    <mergeCell ref="F29:G29"/>
    <mergeCell ref="B30:C31"/>
    <mergeCell ref="F17:G17"/>
    <mergeCell ref="O17:P17"/>
    <mergeCell ref="F18:G18"/>
    <mergeCell ref="H18:H21"/>
    <mergeCell ref="F19:G19"/>
    <mergeCell ref="K19:K20"/>
    <mergeCell ref="L19:L20"/>
    <mergeCell ref="F20:G20"/>
    <mergeCell ref="F21:G21"/>
    <mergeCell ref="B28:C28"/>
    <mergeCell ref="F28:G28"/>
    <mergeCell ref="B12:B24"/>
    <mergeCell ref="C12:C24"/>
    <mergeCell ref="F12:G12"/>
    <mergeCell ref="F13:G13"/>
    <mergeCell ref="F22:G22"/>
    <mergeCell ref="F23:G23"/>
    <mergeCell ref="F24:G24"/>
    <mergeCell ref="B27:D27"/>
    <mergeCell ref="F27:G27"/>
    <mergeCell ref="F30:G30"/>
    <mergeCell ref="F31:G31"/>
    <mergeCell ref="K43:K46"/>
    <mergeCell ref="B33:D33"/>
    <mergeCell ref="F33:G33"/>
    <mergeCell ref="B36:D36"/>
    <mergeCell ref="F36:G36"/>
    <mergeCell ref="B37:D37"/>
    <mergeCell ref="F37:G37"/>
    <mergeCell ref="B40:D40"/>
    <mergeCell ref="F40:G40"/>
    <mergeCell ref="K40:N40"/>
    <mergeCell ref="B41:D41"/>
    <mergeCell ref="F41:G41"/>
    <mergeCell ref="B32:C32"/>
    <mergeCell ref="F32:G32"/>
  </mergeCells>
  <phoneticPr fontId="1"/>
  <pageMargins left="0.70866141732283472" right="0.70866141732283472" top="0.74803149606299213" bottom="0.74803149606299213" header="0.31496062992125984" footer="0.31496062992125984"/>
  <pageSetup paperSize="8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CO2あり試算シート</vt:lpstr>
      <vt:lpstr>CO2なし試算シート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北田 和正</cp:lastModifiedBy>
  <cp:lastPrinted>2020-09-04T03:08:17Z</cp:lastPrinted>
  <dcterms:created xsi:type="dcterms:W3CDTF">2019-06-12T01:14:22Z</dcterms:created>
  <dcterms:modified xsi:type="dcterms:W3CDTF">2020-09-04T03:10:50Z</dcterms:modified>
</cp:coreProperties>
</file>