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999\Desktop\"/>
    </mc:Choice>
  </mc:AlternateContent>
  <bookViews>
    <workbookView xWindow="480" yWindow="60" windowWidth="17490" windowHeight="5880" tabRatio="930"/>
  </bookViews>
  <sheets>
    <sheet name="入力シート（実証技術）" sheetId="33" r:id="rId1"/>
    <sheet name="試算シート" sheetId="34" r:id="rId2"/>
    <sheet name="マテリアルバランス (消化無) (日平均) " sheetId="43" r:id="rId3"/>
    <sheet name="マテリアルバランス (従来技術) (日平均) " sheetId="36" r:id="rId4"/>
    <sheet name="熱バランス (従来技術) (日平均)  " sheetId="38" r:id="rId5"/>
    <sheet name="マテリアルバランス（実証技術） (日平均)" sheetId="28" r:id="rId6"/>
    <sheet name="熱バランス（実証技術） (日平均)" sheetId="31" r:id="rId7"/>
    <sheet name="プログラムシート(中温消化)" sheetId="37" state="hidden" r:id="rId8"/>
    <sheet name="プログラムシート" sheetId="22" state="hidden" r:id="rId9"/>
  </sheets>
  <externalReferences>
    <externalReference r:id="rId10"/>
    <externalReference r:id="rId11"/>
  </externalReferences>
  <definedNames>
    <definedName name="_01ページ" localSheetId="8">#REF!</definedName>
    <definedName name="_01ページ" localSheetId="7">#REF!</definedName>
    <definedName name="_01ページ" localSheetId="3">#REF!</definedName>
    <definedName name="_01ページ" localSheetId="2">#REF!</definedName>
    <definedName name="_01ページ" localSheetId="5">#REF!</definedName>
    <definedName name="_01ページ" localSheetId="4">#REF!</definedName>
    <definedName name="_01ページ" localSheetId="6">#REF!</definedName>
    <definedName name="_01ページ">#REF!</definedName>
    <definedName name="_02ページ" localSheetId="8">#REF!</definedName>
    <definedName name="_02ページ" localSheetId="7">#REF!</definedName>
    <definedName name="_02ページ" localSheetId="3">#REF!</definedName>
    <definedName name="_02ページ" localSheetId="2">#REF!</definedName>
    <definedName name="_02ページ" localSheetId="5">#REF!</definedName>
    <definedName name="_02ページ" localSheetId="4">#REF!</definedName>
    <definedName name="_02ページ" localSheetId="6">#REF!</definedName>
    <definedName name="_02ページ">#REF!</definedName>
    <definedName name="_03ページ" localSheetId="8">#REF!</definedName>
    <definedName name="_03ページ" localSheetId="7">#REF!</definedName>
    <definedName name="_03ページ" localSheetId="3">#REF!</definedName>
    <definedName name="_03ページ" localSheetId="2">#REF!</definedName>
    <definedName name="_03ページ" localSheetId="5">#REF!</definedName>
    <definedName name="_03ページ" localSheetId="4">#REF!</definedName>
    <definedName name="_03ページ" localSheetId="6">#REF!</definedName>
    <definedName name="_03ページ">#REF!</definedName>
    <definedName name="_04ページ" localSheetId="8">#REF!</definedName>
    <definedName name="_04ページ" localSheetId="7">#REF!</definedName>
    <definedName name="_04ページ" localSheetId="3">#REF!</definedName>
    <definedName name="_04ページ" localSheetId="2">#REF!</definedName>
    <definedName name="_04ページ" localSheetId="5">#REF!</definedName>
    <definedName name="_04ページ" localSheetId="4">#REF!</definedName>
    <definedName name="_04ページ" localSheetId="6">#REF!</definedName>
    <definedName name="_04ページ">#REF!</definedName>
    <definedName name="_05ページ" localSheetId="8">#REF!</definedName>
    <definedName name="_05ページ" localSheetId="7">#REF!</definedName>
    <definedName name="_05ページ" localSheetId="3">#REF!</definedName>
    <definedName name="_05ページ" localSheetId="2">#REF!</definedName>
    <definedName name="_05ページ" localSheetId="5">#REF!</definedName>
    <definedName name="_05ページ" localSheetId="4">#REF!</definedName>
    <definedName name="_05ページ" localSheetId="6">#REF!</definedName>
    <definedName name="_05ページ">#REF!</definedName>
    <definedName name="_06ページ" localSheetId="8">#REF!</definedName>
    <definedName name="_06ページ" localSheetId="7">#REF!</definedName>
    <definedName name="_06ページ" localSheetId="3">#REF!</definedName>
    <definedName name="_06ページ" localSheetId="2">#REF!</definedName>
    <definedName name="_06ページ" localSheetId="5">#REF!</definedName>
    <definedName name="_06ページ" localSheetId="4">#REF!</definedName>
    <definedName name="_06ページ" localSheetId="6">#REF!</definedName>
    <definedName name="_06ページ">#REF!</definedName>
    <definedName name="_07ページ" localSheetId="8">#REF!</definedName>
    <definedName name="_07ページ" localSheetId="7">#REF!</definedName>
    <definedName name="_07ページ" localSheetId="3">#REF!</definedName>
    <definedName name="_07ページ" localSheetId="2">#REF!</definedName>
    <definedName name="_07ページ" localSheetId="5">#REF!</definedName>
    <definedName name="_07ページ" localSheetId="4">#REF!</definedName>
    <definedName name="_07ページ" localSheetId="6">#REF!</definedName>
    <definedName name="_07ページ">#REF!</definedName>
    <definedName name="_08ページ" localSheetId="8">#REF!</definedName>
    <definedName name="_08ページ" localSheetId="7">#REF!</definedName>
    <definedName name="_08ページ" localSheetId="3">#REF!</definedName>
    <definedName name="_08ページ" localSheetId="2">#REF!</definedName>
    <definedName name="_08ページ" localSheetId="5">#REF!</definedName>
    <definedName name="_08ページ" localSheetId="4">#REF!</definedName>
    <definedName name="_08ページ" localSheetId="6">#REF!</definedName>
    <definedName name="_08ページ">#REF!</definedName>
    <definedName name="_09ページ" localSheetId="8">#REF!</definedName>
    <definedName name="_09ページ" localSheetId="7">#REF!</definedName>
    <definedName name="_09ページ" localSheetId="3">#REF!</definedName>
    <definedName name="_09ページ" localSheetId="2">#REF!</definedName>
    <definedName name="_09ページ" localSheetId="5">#REF!</definedName>
    <definedName name="_09ページ" localSheetId="4">#REF!</definedName>
    <definedName name="_09ページ" localSheetId="6">#REF!</definedName>
    <definedName name="_09ページ">#REF!</definedName>
    <definedName name="_10ページ" localSheetId="8">#REF!</definedName>
    <definedName name="_10ページ" localSheetId="7">#REF!</definedName>
    <definedName name="_10ページ" localSheetId="3">#REF!</definedName>
    <definedName name="_10ページ" localSheetId="2">#REF!</definedName>
    <definedName name="_10ページ" localSheetId="5">#REF!</definedName>
    <definedName name="_10ページ" localSheetId="4">#REF!</definedName>
    <definedName name="_10ページ" localSheetId="6">#REF!</definedName>
    <definedName name="_10ページ">#REF!</definedName>
    <definedName name="_11ページ" localSheetId="8">#REF!</definedName>
    <definedName name="_11ページ" localSheetId="7">#REF!</definedName>
    <definedName name="_11ページ" localSheetId="3">#REF!</definedName>
    <definedName name="_11ページ" localSheetId="2">#REF!</definedName>
    <definedName name="_11ページ" localSheetId="5">#REF!</definedName>
    <definedName name="_11ページ" localSheetId="4">#REF!</definedName>
    <definedName name="_11ページ" localSheetId="6">#REF!</definedName>
    <definedName name="_11ページ">#REF!</definedName>
    <definedName name="_12ページ" localSheetId="8">#REF!</definedName>
    <definedName name="_12ページ" localSheetId="7">#REF!</definedName>
    <definedName name="_12ページ" localSheetId="3">#REF!</definedName>
    <definedName name="_12ページ" localSheetId="2">#REF!</definedName>
    <definedName name="_12ページ" localSheetId="5">#REF!</definedName>
    <definedName name="_12ページ" localSheetId="4">#REF!</definedName>
    <definedName name="_12ページ" localSheetId="6">#REF!</definedName>
    <definedName name="_12ページ">#REF!</definedName>
    <definedName name="_13ページ" localSheetId="8">#REF!</definedName>
    <definedName name="_13ページ" localSheetId="7">#REF!</definedName>
    <definedName name="_13ページ" localSheetId="3">#REF!</definedName>
    <definedName name="_13ページ" localSheetId="2">#REF!</definedName>
    <definedName name="_13ページ" localSheetId="5">#REF!</definedName>
    <definedName name="_13ページ" localSheetId="4">#REF!</definedName>
    <definedName name="_13ページ" localSheetId="6">#REF!</definedName>
    <definedName name="_13ページ">#REF!</definedName>
    <definedName name="_14ページ" localSheetId="8">#REF!</definedName>
    <definedName name="_14ページ" localSheetId="7">#REF!</definedName>
    <definedName name="_14ページ" localSheetId="3">#REF!</definedName>
    <definedName name="_14ページ" localSheetId="2">#REF!</definedName>
    <definedName name="_14ページ" localSheetId="5">#REF!</definedName>
    <definedName name="_14ページ" localSheetId="4">#REF!</definedName>
    <definedName name="_14ページ" localSheetId="6">#REF!</definedName>
    <definedName name="_14ページ">#REF!</definedName>
    <definedName name="_15ページ" localSheetId="8">#REF!</definedName>
    <definedName name="_15ページ" localSheetId="7">#REF!</definedName>
    <definedName name="_15ページ" localSheetId="3">#REF!</definedName>
    <definedName name="_15ページ" localSheetId="2">#REF!</definedName>
    <definedName name="_15ページ" localSheetId="5">#REF!</definedName>
    <definedName name="_15ページ" localSheetId="4">#REF!</definedName>
    <definedName name="_15ページ" localSheetId="6">#REF!</definedName>
    <definedName name="_15ページ">#REF!</definedName>
    <definedName name="_16ページ" localSheetId="8">#REF!</definedName>
    <definedName name="_16ページ" localSheetId="7">#REF!</definedName>
    <definedName name="_16ページ" localSheetId="3">#REF!</definedName>
    <definedName name="_16ページ" localSheetId="2">#REF!</definedName>
    <definedName name="_16ページ" localSheetId="5">#REF!</definedName>
    <definedName name="_16ページ" localSheetId="4">#REF!</definedName>
    <definedName name="_16ページ" localSheetId="6">#REF!</definedName>
    <definedName name="_16ページ">#REF!</definedName>
    <definedName name="_17ページ" localSheetId="8">#REF!</definedName>
    <definedName name="_17ページ" localSheetId="7">#REF!</definedName>
    <definedName name="_17ページ" localSheetId="3">#REF!</definedName>
    <definedName name="_17ページ" localSheetId="2">#REF!</definedName>
    <definedName name="_17ページ" localSheetId="5">#REF!</definedName>
    <definedName name="_17ページ" localSheetId="4">#REF!</definedName>
    <definedName name="_17ページ" localSheetId="6">#REF!</definedName>
    <definedName name="_17ページ">#REF!</definedName>
    <definedName name="_18ページ" localSheetId="8">#REF!</definedName>
    <definedName name="_18ページ" localSheetId="7">#REF!</definedName>
    <definedName name="_18ページ" localSheetId="3">#REF!</definedName>
    <definedName name="_18ページ" localSheetId="2">#REF!</definedName>
    <definedName name="_18ページ" localSheetId="5">#REF!</definedName>
    <definedName name="_18ページ" localSheetId="4">#REF!</definedName>
    <definedName name="_18ページ" localSheetId="6">#REF!</definedName>
    <definedName name="_18ページ">#REF!</definedName>
    <definedName name="_19ページ" localSheetId="8">#REF!</definedName>
    <definedName name="_19ページ" localSheetId="7">#REF!</definedName>
    <definedName name="_19ページ" localSheetId="3">#REF!</definedName>
    <definedName name="_19ページ" localSheetId="2">#REF!</definedName>
    <definedName name="_19ページ" localSheetId="5">#REF!</definedName>
    <definedName name="_19ページ" localSheetId="4">#REF!</definedName>
    <definedName name="_19ページ" localSheetId="6">#REF!</definedName>
    <definedName name="_19ページ">#REF!</definedName>
    <definedName name="_20ページ" localSheetId="8">#REF!</definedName>
    <definedName name="_20ページ" localSheetId="7">#REF!</definedName>
    <definedName name="_20ページ" localSheetId="3">#REF!</definedName>
    <definedName name="_20ページ" localSheetId="2">#REF!</definedName>
    <definedName name="_20ページ" localSheetId="5">#REF!</definedName>
    <definedName name="_20ページ" localSheetId="4">#REF!</definedName>
    <definedName name="_20ページ" localSheetId="6">#REF!</definedName>
    <definedName name="_20ページ">#REF!</definedName>
    <definedName name="_21ページ" localSheetId="8">#REF!</definedName>
    <definedName name="_21ページ" localSheetId="7">#REF!</definedName>
    <definedName name="_21ページ" localSheetId="3">#REF!</definedName>
    <definedName name="_21ページ" localSheetId="2">#REF!</definedName>
    <definedName name="_21ページ" localSheetId="5">#REF!</definedName>
    <definedName name="_21ページ" localSheetId="4">#REF!</definedName>
    <definedName name="_21ページ" localSheetId="6">#REF!</definedName>
    <definedName name="_21ページ">#REF!</definedName>
    <definedName name="_22ページ" localSheetId="8">#REF!</definedName>
    <definedName name="_22ページ" localSheetId="7">#REF!</definedName>
    <definedName name="_22ページ" localSheetId="3">#REF!</definedName>
    <definedName name="_22ページ" localSheetId="2">#REF!</definedName>
    <definedName name="_22ページ" localSheetId="5">#REF!</definedName>
    <definedName name="_22ページ" localSheetId="4">#REF!</definedName>
    <definedName name="_22ページ" localSheetId="6">#REF!</definedName>
    <definedName name="_22ページ">#REF!</definedName>
    <definedName name="§１" localSheetId="8">#REF!</definedName>
    <definedName name="§１" localSheetId="7">#REF!</definedName>
    <definedName name="§１" localSheetId="3">#REF!</definedName>
    <definedName name="§１" localSheetId="2">#REF!</definedName>
    <definedName name="§１" localSheetId="5">#REF!</definedName>
    <definedName name="§１" localSheetId="4">#REF!</definedName>
    <definedName name="§１" localSheetId="6">#REF!</definedName>
    <definedName name="§１">#REF!</definedName>
    <definedName name="§２" localSheetId="8">#REF!</definedName>
    <definedName name="§２" localSheetId="7">#REF!</definedName>
    <definedName name="§２" localSheetId="3">#REF!</definedName>
    <definedName name="§２" localSheetId="2">#REF!</definedName>
    <definedName name="§２" localSheetId="5">#REF!</definedName>
    <definedName name="§２" localSheetId="4">#REF!</definedName>
    <definedName name="§２" localSheetId="6">#REF!</definedName>
    <definedName name="§２">#REF!</definedName>
    <definedName name="§３" localSheetId="8">#REF!</definedName>
    <definedName name="§３" localSheetId="7">#REF!</definedName>
    <definedName name="§３" localSheetId="3">#REF!</definedName>
    <definedName name="§３" localSheetId="2">#REF!</definedName>
    <definedName name="§３" localSheetId="5">#REF!</definedName>
    <definedName name="§３" localSheetId="4">#REF!</definedName>
    <definedName name="§３" localSheetId="6">#REF!</definedName>
    <definedName name="§３">#REF!</definedName>
    <definedName name="§４" localSheetId="8">#REF!</definedName>
    <definedName name="§４" localSheetId="7">#REF!</definedName>
    <definedName name="§４" localSheetId="3">#REF!</definedName>
    <definedName name="§４" localSheetId="2">#REF!</definedName>
    <definedName name="§４" localSheetId="5">#REF!</definedName>
    <definedName name="§４" localSheetId="4">#REF!</definedName>
    <definedName name="§４" localSheetId="6">#REF!</definedName>
    <definedName name="§４">#REF!</definedName>
    <definedName name="§５" localSheetId="8">#REF!</definedName>
    <definedName name="§５" localSheetId="7">#REF!</definedName>
    <definedName name="§５" localSheetId="3">#REF!</definedName>
    <definedName name="§５" localSheetId="2">#REF!</definedName>
    <definedName name="§５" localSheetId="5">#REF!</definedName>
    <definedName name="§５" localSheetId="4">#REF!</definedName>
    <definedName name="§５" localSheetId="6">#REF!</definedName>
    <definedName name="§５">#REF!</definedName>
    <definedName name="§６" localSheetId="8">#REF!</definedName>
    <definedName name="§６" localSheetId="7">#REF!</definedName>
    <definedName name="§６" localSheetId="3">#REF!</definedName>
    <definedName name="§６" localSheetId="2">#REF!</definedName>
    <definedName name="§６" localSheetId="5">#REF!</definedName>
    <definedName name="§６" localSheetId="4">#REF!</definedName>
    <definedName name="§６" localSheetId="6">#REF!</definedName>
    <definedName name="§６">#REF!</definedName>
    <definedName name="§７" localSheetId="8">#REF!</definedName>
    <definedName name="§７" localSheetId="7">#REF!</definedName>
    <definedName name="§７" localSheetId="3">#REF!</definedName>
    <definedName name="§７" localSheetId="2">#REF!</definedName>
    <definedName name="§７" localSheetId="5">#REF!</definedName>
    <definedName name="§７" localSheetId="4">#REF!</definedName>
    <definedName name="§７" localSheetId="6">#REF!</definedName>
    <definedName name="§７">#REF!</definedName>
    <definedName name="§８" localSheetId="8">#REF!</definedName>
    <definedName name="§８" localSheetId="7">#REF!</definedName>
    <definedName name="§８" localSheetId="3">#REF!</definedName>
    <definedName name="§８" localSheetId="2">#REF!</definedName>
    <definedName name="§８" localSheetId="5">#REF!</definedName>
    <definedName name="§８" localSheetId="4">#REF!</definedName>
    <definedName name="§８" localSheetId="6">#REF!</definedName>
    <definedName name="§８">#REF!</definedName>
    <definedName name="AccessDatabase" hidden="1">"G:\_WORK\JOB\宇美志免\H3機器ﾘｽ\機器ﾘｽﾄ.MDB"</definedName>
    <definedName name="Button_1">"機器ﾘｽﾄ_Sheet1_List"</definedName>
    <definedName name="Button_2">"機器ﾘｽﾄ_Sheet1_List"</definedName>
    <definedName name="Button_3">"機器ﾘｽﾄ_Sheet1_List"</definedName>
    <definedName name="ｄｂ" localSheetId="8">#REF!</definedName>
    <definedName name="ｄｂ" localSheetId="7">#REF!</definedName>
    <definedName name="ｄｂ" localSheetId="3">#REF!</definedName>
    <definedName name="ｄｂ" localSheetId="2">#REF!</definedName>
    <definedName name="ｄｂ" localSheetId="5">#REF!</definedName>
    <definedName name="ｄｂ" localSheetId="4">#REF!</definedName>
    <definedName name="ｄｂ" localSheetId="6">#REF!</definedName>
    <definedName name="ｄｂ">#REF!</definedName>
    <definedName name="dbase" localSheetId="8">#REF!</definedName>
    <definedName name="dbase" localSheetId="7">#REF!</definedName>
    <definedName name="dbase" localSheetId="3">#REF!</definedName>
    <definedName name="dbase" localSheetId="2">#REF!</definedName>
    <definedName name="dbase" localSheetId="5">#REF!</definedName>
    <definedName name="dbase" localSheetId="4">#REF!</definedName>
    <definedName name="dbase" localSheetId="6">#REF!</definedName>
    <definedName name="dbase">#REF!</definedName>
    <definedName name="g" localSheetId="8">#REF!</definedName>
    <definedName name="g" localSheetId="7">#REF!</definedName>
    <definedName name="g" localSheetId="3">#REF!</definedName>
    <definedName name="g" localSheetId="2">#REF!</definedName>
    <definedName name="g" localSheetId="5">#REF!</definedName>
    <definedName name="g" localSheetId="4">#REF!</definedName>
    <definedName name="g" localSheetId="6">#REF!</definedName>
    <definedName name="g">#REF!</definedName>
    <definedName name="_xlnm.Print_Area" localSheetId="8">プログラムシート!$A$1:$BE$76</definedName>
    <definedName name="_xlnm.Print_Area" localSheetId="7">'プログラムシート(中温消化)'!$A$1:$BE$76</definedName>
    <definedName name="_xlnm.Print_Area" localSheetId="3">'マテリアルバランス (従来技術) (日平均) '!$A$1:$M$34</definedName>
    <definedName name="_xlnm.Print_Area" localSheetId="2">'マテリアルバランス (消化無) (日平均) '!$A$1:$M$25</definedName>
    <definedName name="_xlnm.Print_Area" localSheetId="5">'マテリアルバランス（実証技術） (日平均)'!$A$1:$M$36</definedName>
    <definedName name="_xlnm.Print_Area" localSheetId="1">試算シート!$A$1:$P$126</definedName>
    <definedName name="_xlnm.Print_Area" localSheetId="4">'熱バランス (従来技術) (日平均)  '!$A$1:$M$25</definedName>
    <definedName name="_xlnm.Print_Area" localSheetId="6">'熱バランス（実証技術） (日平均)'!$A$1:$M$31</definedName>
    <definedName name="Print_Area_MI" localSheetId="8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4">#REF!</definedName>
    <definedName name="Print_Area_MI" localSheetId="6">#REF!</definedName>
    <definedName name="Print_Area_MI">#REF!</definedName>
    <definedName name="prjName">[1]事業区分名!$A$3:$D$19</definedName>
    <definedName name="y" localSheetId="8">#REF!</definedName>
    <definedName name="y" localSheetId="7">#REF!</definedName>
    <definedName name="y" localSheetId="3">#REF!</definedName>
    <definedName name="y" localSheetId="2">#REF!</definedName>
    <definedName name="y" localSheetId="5">#REF!</definedName>
    <definedName name="y" localSheetId="4">#REF!</definedName>
    <definedName name="y" localSheetId="6">#REF!</definedName>
    <definedName name="y">#REF!</definedName>
    <definedName name="う" localSheetId="8">#REF!</definedName>
    <definedName name="う" localSheetId="3">#REF!</definedName>
    <definedName name="う" localSheetId="2">#REF!</definedName>
    <definedName name="う" localSheetId="5">#REF!</definedName>
    <definedName name="う" localSheetId="4">#REF!</definedName>
    <definedName name="う" localSheetId="6">#REF!</definedName>
    <definedName name="う">#REF!</definedName>
    <definedName name="タイトル" localSheetId="8">#REF!</definedName>
    <definedName name="タイトル" localSheetId="7">#REF!</definedName>
    <definedName name="タイトル" localSheetId="3">#REF!</definedName>
    <definedName name="タイトル" localSheetId="2">#REF!</definedName>
    <definedName name="タイトル" localSheetId="5">#REF!</definedName>
    <definedName name="タイトル" localSheetId="4">#REF!</definedName>
    <definedName name="タイトル" localSheetId="6">#REF!</definedName>
    <definedName name="タイトル">#REF!</definedName>
    <definedName name="ヒュ" localSheetId="8">#REF!</definedName>
    <definedName name="ヒュ" localSheetId="7">#REF!</definedName>
    <definedName name="ヒュ" localSheetId="3">#REF!</definedName>
    <definedName name="ヒュ" localSheetId="2">#REF!</definedName>
    <definedName name="ヒュ" localSheetId="5">#REF!</definedName>
    <definedName name="ヒュ" localSheetId="4">#REF!</definedName>
    <definedName name="ヒュ" localSheetId="6">#REF!</definedName>
    <definedName name="ヒュ">#REF!</definedName>
    <definedName name="メタン熱収支" localSheetId="8">#REF!</definedName>
    <definedName name="メタン熱収支" localSheetId="7">#REF!</definedName>
    <definedName name="メタン熱収支" localSheetId="3">#REF!</definedName>
    <definedName name="メタン熱収支" localSheetId="2">#REF!</definedName>
    <definedName name="メタン熱収支" localSheetId="5">#REF!</definedName>
    <definedName name="メタン熱収支" localSheetId="4">#REF!</definedName>
    <definedName name="メタン熱収支" localSheetId="6">#REF!</definedName>
    <definedName name="メタン熱収支">#REF!</definedName>
    <definedName name="ランニングコスト" localSheetId="8">#REF!</definedName>
    <definedName name="ランニングコスト" localSheetId="7">#REF!</definedName>
    <definedName name="ランニングコスト" localSheetId="3">#REF!</definedName>
    <definedName name="ランニングコスト" localSheetId="2">#REF!</definedName>
    <definedName name="ランニングコスト" localSheetId="5">#REF!</definedName>
    <definedName name="ランニングコスト" localSheetId="4">#REF!</definedName>
    <definedName name="ランニングコスト" localSheetId="6">#REF!</definedName>
    <definedName name="ランニングコスト">#REF!</definedName>
    <definedName name="機器ﾘｽﾄ_Sheet1_List1" localSheetId="8">[2]表形式!#REF!</definedName>
    <definedName name="機器ﾘｽﾄ_Sheet1_List1" localSheetId="7">[2]表形式!#REF!</definedName>
    <definedName name="機器ﾘｽﾄ_Sheet1_List1" localSheetId="3">[2]表形式!#REF!</definedName>
    <definedName name="機器ﾘｽﾄ_Sheet1_List1" localSheetId="2">[2]表形式!#REF!</definedName>
    <definedName name="機器ﾘｽﾄ_Sheet1_List1" localSheetId="5">[2]表形式!#REF!</definedName>
    <definedName name="機器ﾘｽﾄ_Sheet1_List1" localSheetId="4">[2]表形式!#REF!</definedName>
    <definedName name="機器ﾘｽﾄ_Sheet1_List1" localSheetId="6">[2]表形式!#REF!</definedName>
    <definedName name="機器ﾘｽﾄ_Sheet1_List1">[2]表形式!#REF!</definedName>
    <definedName name="建設費_設備仕様" localSheetId="8">#REF!</definedName>
    <definedName name="建設費_設備仕様" localSheetId="7">#REF!</definedName>
    <definedName name="建設費_設備仕様" localSheetId="3">#REF!</definedName>
    <definedName name="建設費_設備仕様" localSheetId="2">#REF!</definedName>
    <definedName name="建設費_設備仕様" localSheetId="5">#REF!</definedName>
    <definedName name="建設費_設備仕様" localSheetId="4">#REF!</definedName>
    <definedName name="建設費_設備仕様" localSheetId="6">#REF!</definedName>
    <definedName name="建設費_設備仕様">#REF!</definedName>
    <definedName name="初期値01" localSheetId="8">#REF!</definedName>
    <definedName name="初期値01" localSheetId="7">#REF!</definedName>
    <definedName name="初期値01" localSheetId="3">#REF!</definedName>
    <definedName name="初期値01" localSheetId="2">#REF!</definedName>
    <definedName name="初期値01" localSheetId="5">#REF!</definedName>
    <definedName name="初期値01" localSheetId="4">#REF!</definedName>
    <definedName name="初期値01" localSheetId="6">#REF!</definedName>
    <definedName name="初期値01">#REF!</definedName>
    <definedName name="硝化比率" localSheetId="8">#REF!</definedName>
    <definedName name="硝化比率" localSheetId="7">#REF!</definedName>
    <definedName name="硝化比率" localSheetId="3">#REF!</definedName>
    <definedName name="硝化比率" localSheetId="2">#REF!</definedName>
    <definedName name="硝化比率" localSheetId="5">#REF!</definedName>
    <definedName name="硝化比率" localSheetId="4">#REF!</definedName>
    <definedName name="硝化比率" localSheetId="6">#REF!</definedName>
    <definedName name="硝化比率">#REF!</definedName>
    <definedName name="硝化被率" localSheetId="8">#REF!</definedName>
    <definedName name="硝化被率" localSheetId="7">#REF!</definedName>
    <definedName name="硝化被率" localSheetId="3">#REF!</definedName>
    <definedName name="硝化被率" localSheetId="2">#REF!</definedName>
    <definedName name="硝化被率" localSheetId="5">#REF!</definedName>
    <definedName name="硝化被率" localSheetId="4">#REF!</definedName>
    <definedName name="硝化被率" localSheetId="6">#REF!</definedName>
    <definedName name="硝化被率">#REF!</definedName>
    <definedName name="排水量" localSheetId="8">#REF!</definedName>
    <definedName name="排水量" localSheetId="7">#REF!</definedName>
    <definedName name="排水量" localSheetId="3">#REF!</definedName>
    <definedName name="排水量" localSheetId="2">#REF!</definedName>
    <definedName name="排水量" localSheetId="5">#REF!</definedName>
    <definedName name="排水量" localSheetId="4">#REF!</definedName>
    <definedName name="排水量" localSheetId="6">#REF!</definedName>
    <definedName name="排水量">#REF!</definedName>
    <definedName name="表紙" localSheetId="8">#REF!</definedName>
    <definedName name="表紙" localSheetId="7">#REF!</definedName>
    <definedName name="表紙" localSheetId="3">#REF!</definedName>
    <definedName name="表紙" localSheetId="2">#REF!</definedName>
    <definedName name="表紙" localSheetId="5">#REF!</definedName>
    <definedName name="表紙" localSheetId="4">#REF!</definedName>
    <definedName name="表紙" localSheetId="6">#REF!</definedName>
    <definedName name="表紙">#REF!</definedName>
    <definedName name="放流ＢＯＤ" localSheetId="8">#REF!</definedName>
    <definedName name="放流ＢＯＤ" localSheetId="7">#REF!</definedName>
    <definedName name="放流ＢＯＤ" localSheetId="3">#REF!</definedName>
    <definedName name="放流ＢＯＤ" localSheetId="2">#REF!</definedName>
    <definedName name="放流ＢＯＤ" localSheetId="5">#REF!</definedName>
    <definedName name="放流ＢＯＤ" localSheetId="4">#REF!</definedName>
    <definedName name="放流ＢＯＤ" localSheetId="6">#REF!</definedName>
    <definedName name="放流ＢＯＤ">#REF!</definedName>
    <definedName name="目次" localSheetId="8">#REF!</definedName>
    <definedName name="目次" localSheetId="7">#REF!</definedName>
    <definedName name="目次" localSheetId="3">#REF!</definedName>
    <definedName name="目次" localSheetId="2">#REF!</definedName>
    <definedName name="目次" localSheetId="5">#REF!</definedName>
    <definedName name="目次" localSheetId="4">#REF!</definedName>
    <definedName name="目次" localSheetId="6">#REF!</definedName>
    <definedName name="目次">#REF!</definedName>
    <definedName name="流出水NOX_N_硝化槽" localSheetId="8">#REF!</definedName>
    <definedName name="流出水NOX_N_硝化槽" localSheetId="7">#REF!</definedName>
    <definedName name="流出水NOX_N_硝化槽" localSheetId="3">#REF!</definedName>
    <definedName name="流出水NOX_N_硝化槽" localSheetId="2">#REF!</definedName>
    <definedName name="流出水NOX_N_硝化槽" localSheetId="5">#REF!</definedName>
    <definedName name="流出水NOX_N_硝化槽" localSheetId="4">#REF!</definedName>
    <definedName name="流出水NOX_N_硝化槽" localSheetId="6">#REF!</definedName>
    <definedName name="流出水NOX_N_硝化槽">#REF!</definedName>
    <definedName name="流入ＢＯＤ" localSheetId="8">#REF!</definedName>
    <definedName name="流入ＢＯＤ" localSheetId="7">#REF!</definedName>
    <definedName name="流入ＢＯＤ" localSheetId="3">#REF!</definedName>
    <definedName name="流入ＢＯＤ" localSheetId="2">#REF!</definedName>
    <definedName name="流入ＢＯＤ" localSheetId="5">#REF!</definedName>
    <definedName name="流入ＢＯＤ" localSheetId="4">#REF!</definedName>
    <definedName name="流入ＢＯＤ" localSheetId="6">#REF!</definedName>
    <definedName name="流入ＢＯＤ">#REF!</definedName>
    <definedName name="流入T_N濃度" localSheetId="8">#REF!</definedName>
    <definedName name="流入T_N濃度" localSheetId="7">#REF!</definedName>
    <definedName name="流入T_N濃度" localSheetId="3">#REF!</definedName>
    <definedName name="流入T_N濃度" localSheetId="2">#REF!</definedName>
    <definedName name="流入T_N濃度" localSheetId="5">#REF!</definedName>
    <definedName name="流入T_N濃度" localSheetId="4">#REF!</definedName>
    <definedName name="流入T_N濃度" localSheetId="6">#REF!</definedName>
    <definedName name="流入T_N濃度">#REF!</definedName>
  </definedNames>
  <calcPr calcId="162913"/>
</workbook>
</file>

<file path=xl/calcChain.xml><?xml version="1.0" encoding="utf-8"?>
<calcChain xmlns="http://schemas.openxmlformats.org/spreadsheetml/2006/main">
  <c r="AX37" i="37" l="1"/>
  <c r="AX36" i="37"/>
  <c r="L31" i="33" l="1"/>
  <c r="S52" i="22"/>
  <c r="E121" i="34"/>
  <c r="L38" i="33"/>
  <c r="I50" i="22"/>
  <c r="BP35" i="22" s="1"/>
  <c r="L42" i="33" s="1"/>
  <c r="L36" i="33"/>
  <c r="L40" i="33"/>
  <c r="L37" i="33"/>
  <c r="BP31" i="37" s="1"/>
  <c r="AD64" i="37" s="1"/>
  <c r="L21" i="33"/>
  <c r="O21" i="33" s="1"/>
  <c r="L7" i="33"/>
  <c r="R21" i="33" l="1"/>
  <c r="I25" i="34" s="1"/>
  <c r="I32" i="34" s="1"/>
  <c r="I26" i="34"/>
  <c r="I71" i="34" s="1"/>
  <c r="AI40" i="37"/>
  <c r="AI40" i="22"/>
  <c r="I36" i="34" l="1"/>
  <c r="K36" i="34" s="1"/>
  <c r="I70" i="34"/>
  <c r="I93" i="34"/>
  <c r="I100" i="34"/>
  <c r="M100" i="34" s="1"/>
  <c r="K47" i="34" l="1"/>
  <c r="J36" i="34"/>
  <c r="M37" i="34" s="1"/>
  <c r="I99" i="34"/>
  <c r="M99" i="34" s="1"/>
  <c r="I97" i="34" l="1"/>
  <c r="K97" i="34"/>
  <c r="M97" i="34" l="1"/>
  <c r="I98" i="34"/>
  <c r="M98" i="34" s="1"/>
  <c r="K96" i="34" l="1"/>
  <c r="J96" i="34"/>
  <c r="M36" i="34"/>
  <c r="M93" i="34"/>
  <c r="M94" i="34" s="1"/>
  <c r="I118" i="34" s="1"/>
  <c r="M118" i="34" s="1"/>
  <c r="I18" i="34"/>
  <c r="M96" i="34" l="1"/>
  <c r="M101" i="34" s="1"/>
  <c r="I119" i="34" s="1"/>
  <c r="M119" i="34" l="1"/>
  <c r="M120" i="34" s="1"/>
  <c r="F81" i="34"/>
  <c r="F83" i="34"/>
  <c r="E81" i="34"/>
  <c r="D81" i="34"/>
  <c r="D83" i="34"/>
  <c r="D85" i="34"/>
  <c r="E85" i="34"/>
  <c r="D84" i="34"/>
  <c r="E84" i="34"/>
  <c r="E83" i="34"/>
  <c r="F84" i="34"/>
  <c r="F85" i="34"/>
  <c r="F86" i="34"/>
  <c r="G81" i="34" l="1"/>
  <c r="H81" i="34" s="1"/>
  <c r="H82" i="34" s="1"/>
  <c r="M95" i="34" s="1"/>
  <c r="G84" i="34"/>
  <c r="H84" i="34" s="1"/>
  <c r="G85" i="34"/>
  <c r="H85" i="34" s="1"/>
  <c r="G83" i="34"/>
  <c r="H83" i="34" s="1"/>
  <c r="G82" i="34" l="1"/>
  <c r="I29" i="34" l="1"/>
  <c r="M29" i="34" s="1"/>
  <c r="J14" i="43"/>
  <c r="C12" i="43"/>
  <c r="C13" i="43"/>
  <c r="C11" i="43"/>
  <c r="M32" i="34" l="1"/>
  <c r="J122" i="34"/>
  <c r="C10" i="43"/>
  <c r="J13" i="43"/>
  <c r="J12" i="43" s="1"/>
  <c r="I34" i="34" s="1"/>
  <c r="M34" i="34" s="1"/>
  <c r="M70" i="34" l="1"/>
  <c r="M71" i="34"/>
  <c r="I63" i="34"/>
  <c r="I58" i="34"/>
  <c r="I59" i="34"/>
  <c r="M60" i="34" s="1"/>
  <c r="I54" i="34"/>
  <c r="M59" i="34" l="1"/>
  <c r="M54" i="34" l="1"/>
  <c r="M55" i="34"/>
  <c r="I50" i="34"/>
  <c r="I46" i="34"/>
  <c r="M46" i="34" s="1"/>
  <c r="I13" i="34"/>
  <c r="M15" i="34" l="1"/>
  <c r="M14" i="34"/>
  <c r="M13" i="34"/>
  <c r="M47" i="34"/>
  <c r="I33" i="34"/>
  <c r="M17" i="34" l="1"/>
  <c r="M33" i="34"/>
  <c r="K122" i="34"/>
  <c r="I40" i="34"/>
  <c r="I96" i="34"/>
  <c r="BS43" i="37" l="1"/>
  <c r="BP35" i="37"/>
  <c r="BP33" i="37"/>
  <c r="BP23" i="37"/>
  <c r="BP22" i="37"/>
  <c r="BP19" i="37"/>
  <c r="X33" i="37" s="1"/>
  <c r="G23" i="38" s="1"/>
  <c r="BP18" i="37"/>
  <c r="AC29" i="37" s="1"/>
  <c r="C21" i="38" s="1"/>
  <c r="BP15" i="37"/>
  <c r="W10" i="37" s="1"/>
  <c r="BP14" i="37"/>
  <c r="W9" i="37" s="1"/>
  <c r="BP13" i="37"/>
  <c r="W8" i="37" s="1"/>
  <c r="K6" i="38"/>
  <c r="X83" i="37"/>
  <c r="X82" i="37"/>
  <c r="AS50" i="37"/>
  <c r="J31" i="36"/>
  <c r="K21" i="36"/>
  <c r="G21" i="36"/>
  <c r="G8" i="36"/>
  <c r="G19" i="36" s="1"/>
  <c r="C29" i="36" l="1"/>
  <c r="C30" i="36"/>
  <c r="AH38" i="37"/>
  <c r="AW34" i="37" s="1"/>
  <c r="K19" i="36" s="1"/>
  <c r="C28" i="36"/>
  <c r="W7" i="37"/>
  <c r="C20" i="38" s="1"/>
  <c r="AC19" i="37"/>
  <c r="AC26" i="37" s="1"/>
  <c r="BP37" i="37"/>
  <c r="AD47" i="37"/>
  <c r="AD49" i="37" s="1"/>
  <c r="AC18" i="37" l="1"/>
  <c r="AC20" i="37" s="1"/>
  <c r="C27" i="36"/>
  <c r="AW35" i="37"/>
  <c r="K20" i="36" s="1"/>
  <c r="I19" i="34" s="1"/>
  <c r="J19" i="34" s="1"/>
  <c r="M20" i="34" s="1"/>
  <c r="G9" i="36"/>
  <c r="M80" i="34" s="1"/>
  <c r="G7" i="36"/>
  <c r="L80" i="34" s="1"/>
  <c r="AW38" i="37"/>
  <c r="K8" i="38" s="1"/>
  <c r="G32" i="36"/>
  <c r="AD63" i="37"/>
  <c r="AD62" i="37" s="1"/>
  <c r="G30" i="36"/>
  <c r="AK59" i="37"/>
  <c r="AK58" i="37" s="1"/>
  <c r="AC21" i="37"/>
  <c r="AC28" i="37" s="1"/>
  <c r="AD65" i="37"/>
  <c r="BS44" i="37"/>
  <c r="AC25" i="37" l="1"/>
  <c r="AR46" i="37" s="1"/>
  <c r="D58" i="37"/>
  <c r="J30" i="36"/>
  <c r="AV50" i="37"/>
  <c r="AC27" i="37"/>
  <c r="I30" i="34"/>
  <c r="M30" i="34" s="1"/>
  <c r="M31" i="34" s="1"/>
  <c r="I52" i="34"/>
  <c r="M52" i="34" s="1"/>
  <c r="I23" i="34"/>
  <c r="I24" i="34" s="1"/>
  <c r="N80" i="34"/>
  <c r="J29" i="36"/>
  <c r="I27" i="34" s="1"/>
  <c r="I122" i="34" s="1"/>
  <c r="M122" i="34" s="1"/>
  <c r="X34" i="37" l="1"/>
  <c r="AD46" i="37"/>
  <c r="AD48" i="37" s="1"/>
  <c r="G31" i="36" s="1"/>
  <c r="AS47" i="37"/>
  <c r="G24" i="38" s="1"/>
  <c r="D57" i="37"/>
  <c r="M35" i="34"/>
  <c r="M24" i="34"/>
  <c r="O80" i="34"/>
  <c r="I115" i="34" s="1"/>
  <c r="G29" i="36" l="1"/>
  <c r="G22" i="38"/>
  <c r="C39" i="37"/>
  <c r="AW43" i="37"/>
  <c r="G20" i="36" s="1"/>
  <c r="M19" i="34"/>
  <c r="G6" i="38" l="1"/>
  <c r="M63" i="34" l="1"/>
  <c r="M58" i="34" l="1"/>
  <c r="M61" i="34" l="1"/>
  <c r="M56" i="34"/>
  <c r="M48" i="34" l="1"/>
  <c r="M50" i="34"/>
  <c r="J23" i="34" l="1"/>
  <c r="J40" i="34"/>
  <c r="K40" i="34"/>
  <c r="M40" i="34" l="1"/>
  <c r="M38" i="34"/>
  <c r="M27" i="34"/>
  <c r="M26" i="34"/>
  <c r="M25" i="34"/>
  <c r="M23" i="34"/>
  <c r="M21" i="34" l="1"/>
  <c r="M18" i="34"/>
  <c r="M16" i="34" l="1"/>
  <c r="N3" i="34" l="1"/>
  <c r="N4" i="34"/>
  <c r="M62" i="34" l="1"/>
  <c r="M49" i="34"/>
  <c r="M57" i="34"/>
  <c r="M22" i="34"/>
  <c r="M39" i="34"/>
  <c r="M28" i="34" l="1"/>
  <c r="BP33" i="22" l="1"/>
  <c r="W57" i="22" s="1"/>
  <c r="AW35" i="22" l="1"/>
  <c r="BS43" i="22"/>
  <c r="BP31" i="22"/>
  <c r="AD62" i="22" s="1"/>
  <c r="BP23" i="22"/>
  <c r="AX29" i="22" s="1"/>
  <c r="BP22" i="22"/>
  <c r="AX28" i="22" s="1"/>
  <c r="BP19" i="22"/>
  <c r="BP18" i="22"/>
  <c r="BV15" i="22"/>
  <c r="AY17" i="22" s="1"/>
  <c r="BV14" i="22"/>
  <c r="AY16" i="22" s="1"/>
  <c r="BV13" i="22"/>
  <c r="AY15" i="22" s="1"/>
  <c r="BS15" i="22"/>
  <c r="K10" i="22" s="1"/>
  <c r="BS14" i="22"/>
  <c r="K9" i="22" s="1"/>
  <c r="BS13" i="22"/>
  <c r="K8" i="22" s="1"/>
  <c r="BP14" i="22"/>
  <c r="W9" i="22" s="1"/>
  <c r="BP15" i="22"/>
  <c r="W10" i="22" s="1"/>
  <c r="BP13" i="22"/>
  <c r="W8" i="22" s="1"/>
  <c r="X33" i="22" l="1"/>
  <c r="G18" i="31"/>
  <c r="J18" i="31"/>
  <c r="AC29" i="22"/>
  <c r="S51" i="22"/>
  <c r="AD68" i="22"/>
  <c r="AD63" i="22"/>
  <c r="AW34" i="22"/>
  <c r="AS60" i="22"/>
  <c r="AY14" i="22"/>
  <c r="G28" i="31" l="1"/>
  <c r="C26" i="31"/>
  <c r="C19" i="31"/>
  <c r="C11" i="31"/>
  <c r="C17" i="31"/>
  <c r="C29" i="28" l="1"/>
  <c r="C27" i="28"/>
  <c r="C21" i="28"/>
  <c r="C19" i="28"/>
  <c r="C18" i="28"/>
  <c r="K15" i="28"/>
  <c r="C14" i="28"/>
  <c r="C12" i="28"/>
  <c r="AQ72" i="22" l="1"/>
  <c r="AP71" i="22"/>
  <c r="AQ69" i="22"/>
  <c r="AP68" i="22"/>
  <c r="AQ66" i="22"/>
  <c r="AP65" i="22"/>
  <c r="AR59" i="22"/>
  <c r="AT52" i="22"/>
  <c r="J6" i="31" s="1"/>
  <c r="AC19" i="22"/>
  <c r="S50" i="22" s="1"/>
  <c r="D86" i="34" s="1"/>
  <c r="AQ14" i="22"/>
  <c r="AQ15" i="22" s="1"/>
  <c r="AQ75" i="22" l="1"/>
  <c r="C20" i="28"/>
  <c r="C18" i="31"/>
  <c r="AC21" i="22"/>
  <c r="J36" i="28"/>
  <c r="AW38" i="22"/>
  <c r="S44" i="22"/>
  <c r="AD47" i="22"/>
  <c r="AC26" i="22"/>
  <c r="AH38" i="22"/>
  <c r="AP74" i="22"/>
  <c r="AD49" i="22" l="1"/>
  <c r="E86" i="34" s="1"/>
  <c r="G86" i="34" s="1"/>
  <c r="I52" i="22"/>
  <c r="BP37" i="22" s="1"/>
  <c r="L44" i="33" s="1"/>
  <c r="G29" i="28"/>
  <c r="I51" i="34" s="1"/>
  <c r="M51" i="34" s="1"/>
  <c r="M53" i="34" s="1"/>
  <c r="G5" i="28"/>
  <c r="G19" i="28"/>
  <c r="S46" i="22"/>
  <c r="AD61" i="22"/>
  <c r="AK59" i="22"/>
  <c r="AK58" i="22" s="1"/>
  <c r="AC28" i="22"/>
  <c r="H86" i="34" l="1"/>
  <c r="H87" i="34" s="1"/>
  <c r="M102" i="34" s="1"/>
  <c r="G87" i="34"/>
  <c r="I41" i="34"/>
  <c r="I45" i="34" s="1"/>
  <c r="M45" i="34" s="1"/>
  <c r="L81" i="34"/>
  <c r="BS44" i="22"/>
  <c r="L52" i="33"/>
  <c r="D58" i="22"/>
  <c r="J29" i="28"/>
  <c r="G21" i="28"/>
  <c r="AD69" i="22"/>
  <c r="G31" i="28"/>
  <c r="AD67" i="22"/>
  <c r="M41" i="34" l="1"/>
  <c r="M42" i="34"/>
  <c r="J35" i="28"/>
  <c r="M43" i="34" l="1"/>
  <c r="M44" i="34"/>
  <c r="C28" i="28"/>
  <c r="W7" i="22"/>
  <c r="C26" i="28" s="1"/>
  <c r="AC18" i="22" l="1"/>
  <c r="C25" i="31"/>
  <c r="AC20" i="22" l="1"/>
  <c r="AC25" i="22"/>
  <c r="AR47" i="22" l="1"/>
  <c r="AC27" i="22"/>
  <c r="AS48" i="22"/>
  <c r="G29" i="31" l="1"/>
  <c r="AT56" i="22"/>
  <c r="AW43" i="22" s="1"/>
  <c r="AW42" i="22" s="1"/>
  <c r="G6" i="28" l="1"/>
  <c r="AW26" i="22"/>
  <c r="AW30" i="22" s="1"/>
  <c r="K13" i="28" l="1"/>
  <c r="G7" i="28"/>
  <c r="M81" i="34" s="1"/>
  <c r="AW27" i="22"/>
  <c r="K14" i="28" l="1"/>
  <c r="I64" i="34" s="1"/>
  <c r="C13" i="28"/>
  <c r="K7" i="22"/>
  <c r="C10" i="31" s="1"/>
  <c r="I68" i="34" l="1"/>
  <c r="I69" i="34" s="1"/>
  <c r="J64" i="34"/>
  <c r="C11" i="28"/>
  <c r="J30" i="28"/>
  <c r="AD60" i="22"/>
  <c r="S49" i="22"/>
  <c r="C40" i="22" s="1"/>
  <c r="N81" i="34" l="1"/>
  <c r="M64" i="34"/>
  <c r="M65" i="34"/>
  <c r="J68" i="34"/>
  <c r="M68" i="34" s="1"/>
  <c r="M69" i="34"/>
  <c r="O81" i="34"/>
  <c r="I116" i="34" s="1"/>
  <c r="J17" i="31"/>
  <c r="D39" i="22"/>
  <c r="S43" i="22" s="1"/>
  <c r="S45" i="22" s="1"/>
  <c r="C43" i="22"/>
  <c r="G6" i="31" s="1"/>
  <c r="G5" i="31"/>
  <c r="J28" i="28"/>
  <c r="AD66" i="22"/>
  <c r="M66" i="34" l="1"/>
  <c r="M67" i="34"/>
  <c r="M116" i="34"/>
  <c r="M115" i="34"/>
  <c r="G18" i="28"/>
  <c r="D42" i="22"/>
  <c r="G17" i="31"/>
  <c r="AD46" i="22"/>
  <c r="G28" i="28" s="1"/>
  <c r="G7" i="31"/>
  <c r="J34" i="28"/>
  <c r="I72" i="34" s="1"/>
  <c r="G20" i="28"/>
  <c r="M72" i="34" l="1"/>
  <c r="I123" i="34"/>
  <c r="M123" i="34" s="1"/>
  <c r="M117" i="34"/>
  <c r="AD48" i="22"/>
  <c r="G30" i="28" s="1"/>
  <c r="G27" i="31"/>
  <c r="D57" i="22"/>
  <c r="M73" i="34" l="1"/>
  <c r="M74" i="34" s="1"/>
  <c r="M124" i="34"/>
  <c r="M125" i="34" s="1"/>
</calcChain>
</file>

<file path=xl/sharedStrings.xml><?xml version="1.0" encoding="utf-8"?>
<sst xmlns="http://schemas.openxmlformats.org/spreadsheetml/2006/main" count="1342" uniqueCount="646">
  <si>
    <t>　</t>
    <phoneticPr fontId="2"/>
  </si>
  <si>
    <t>固形物量  ( t/日)</t>
    <phoneticPr fontId="2"/>
  </si>
  <si>
    <t>汚泥濃度 (%)</t>
    <phoneticPr fontId="2"/>
  </si>
  <si>
    <t>VTS        (%)</t>
    <phoneticPr fontId="2"/>
  </si>
  <si>
    <t>投入量     ( t/日)</t>
    <phoneticPr fontId="2"/>
  </si>
  <si>
    <t>固形物量   (t/日 )</t>
    <phoneticPr fontId="2"/>
  </si>
  <si>
    <t>汚泥濃度  (%)</t>
    <phoneticPr fontId="2"/>
  </si>
  <si>
    <t>VTS         (%)</t>
    <phoneticPr fontId="2"/>
  </si>
  <si>
    <r>
      <t>発生量 ( 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</si>
  <si>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r>
      <t>加温    ( 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</si>
  <si>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r>
      <t>投入汚泥量(m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</si>
  <si>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r>
      <t>可溶化汚泥量(m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</si>
  <si>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t>固形物量 ( t/日)</t>
    <phoneticPr fontId="2"/>
  </si>
  <si>
    <t>汚泥濃度(%)</t>
    <phoneticPr fontId="2"/>
  </si>
  <si>
    <t>VTS      (%)</t>
    <phoneticPr fontId="2"/>
  </si>
  <si>
    <t>脱水汚泥量 (t/日)</t>
    <phoneticPr fontId="2"/>
  </si>
  <si>
    <t>固形物量(t/日)</t>
    <phoneticPr fontId="2"/>
  </si>
  <si>
    <t>含水率 (%)</t>
    <phoneticPr fontId="2"/>
  </si>
  <si>
    <t>脱水汚泥(排出)　(日平均)</t>
    <phoneticPr fontId="2"/>
  </si>
  <si>
    <r>
      <t>消化汚泥流量 (m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</si>
  <si>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r>
      <t>消化ガス流量 (m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rPh sb="0" eb="2">
      <t>ショウカ</t>
    </rPh>
    <rPh sb="4" eb="6">
      <t>リュウリョウ</t>
    </rPh>
    <phoneticPr fontId="2"/>
  </si>
  <si>
    <t>提案技術：</t>
    <rPh sb="0" eb="2">
      <t>テイアン</t>
    </rPh>
    <rPh sb="2" eb="4">
      <t>ギジュツ</t>
    </rPh>
    <phoneticPr fontId="29"/>
  </si>
  <si>
    <t>汚泥処理マテリアルバランス</t>
    <rPh sb="0" eb="2">
      <t>オデイ</t>
    </rPh>
    <rPh sb="2" eb="4">
      <t>ショリ</t>
    </rPh>
    <phoneticPr fontId="29"/>
  </si>
  <si>
    <t>混合濃縮汚泥</t>
    <rPh sb="0" eb="2">
      <t>コンゴウ</t>
    </rPh>
    <rPh sb="2" eb="4">
      <t>ノウシュク</t>
    </rPh>
    <rPh sb="4" eb="6">
      <t>オデイ</t>
    </rPh>
    <phoneticPr fontId="29"/>
  </si>
  <si>
    <t>Q1</t>
    <phoneticPr fontId="29"/>
  </si>
  <si>
    <t>m3/日</t>
    <rPh sb="3" eb="4">
      <t>ニチ</t>
    </rPh>
    <phoneticPr fontId="29"/>
  </si>
  <si>
    <t>ｔ/日</t>
    <rPh sb="2" eb="3">
      <t>ニチ</t>
    </rPh>
    <phoneticPr fontId="29"/>
  </si>
  <si>
    <t>　処理水</t>
    <rPh sb="1" eb="3">
      <t>ショリ</t>
    </rPh>
    <rPh sb="3" eb="4">
      <t>スイ</t>
    </rPh>
    <phoneticPr fontId="29"/>
  </si>
  <si>
    <t>　　　食品廃棄物</t>
    <rPh sb="3" eb="5">
      <t>ショクヒン</t>
    </rPh>
    <rPh sb="5" eb="8">
      <t>ハイキブツ</t>
    </rPh>
    <phoneticPr fontId="29"/>
  </si>
  <si>
    <t>混合汚泥</t>
    <rPh sb="0" eb="2">
      <t>コンゴウ</t>
    </rPh>
    <rPh sb="2" eb="4">
      <t>オデイ</t>
    </rPh>
    <phoneticPr fontId="29"/>
  </si>
  <si>
    <t>DS3</t>
    <phoneticPr fontId="29"/>
  </si>
  <si>
    <t>Q11</t>
    <phoneticPr fontId="29"/>
  </si>
  <si>
    <t>発電（ガスエンジン）</t>
    <rPh sb="0" eb="2">
      <t>ハツデン</t>
    </rPh>
    <phoneticPr fontId="29"/>
  </si>
  <si>
    <t>発電量</t>
    <rPh sb="0" eb="2">
      <t>ハツデン</t>
    </rPh>
    <rPh sb="2" eb="3">
      <t>リョウ</t>
    </rPh>
    <phoneticPr fontId="29"/>
  </si>
  <si>
    <t>kW</t>
    <phoneticPr fontId="29"/>
  </si>
  <si>
    <t>発電効率</t>
    <rPh sb="0" eb="2">
      <t>ハツデン</t>
    </rPh>
    <rPh sb="2" eb="4">
      <t>コウリツ</t>
    </rPh>
    <phoneticPr fontId="29"/>
  </si>
  <si>
    <t>温度</t>
    <rPh sb="0" eb="2">
      <t>オンド</t>
    </rPh>
    <phoneticPr fontId="29"/>
  </si>
  <si>
    <t>排熱効率</t>
    <rPh sb="0" eb="1">
      <t>ハイ</t>
    </rPh>
    <rPh sb="1" eb="2">
      <t>ネツ</t>
    </rPh>
    <rPh sb="2" eb="4">
      <t>コウリツ</t>
    </rPh>
    <phoneticPr fontId="29"/>
  </si>
  <si>
    <t>温水回収</t>
    <rPh sb="0" eb="2">
      <t>オンスイ</t>
    </rPh>
    <rPh sb="2" eb="4">
      <t>カイシュウ</t>
    </rPh>
    <phoneticPr fontId="29"/>
  </si>
  <si>
    <t>MJ/日</t>
    <rPh sb="3" eb="4">
      <t>ニチ</t>
    </rPh>
    <phoneticPr fontId="29"/>
  </si>
  <si>
    <t>実　証　消　化　タ　ン　ク</t>
    <rPh sb="0" eb="1">
      <t>ジツ</t>
    </rPh>
    <rPh sb="2" eb="3">
      <t>アカシ</t>
    </rPh>
    <rPh sb="4" eb="5">
      <t>ショウ</t>
    </rPh>
    <phoneticPr fontId="29"/>
  </si>
  <si>
    <t>（消化温度</t>
    <rPh sb="3" eb="5">
      <t>オンド</t>
    </rPh>
    <phoneticPr fontId="29"/>
  </si>
  <si>
    <t>）</t>
    <phoneticPr fontId="29"/>
  </si>
  <si>
    <t>発電（SOFC)</t>
    <rPh sb="0" eb="2">
      <t>ハツデン</t>
    </rPh>
    <phoneticPr fontId="29"/>
  </si>
  <si>
    <t>　（混合汚泥消化率　</t>
    <phoneticPr fontId="29"/>
  </si>
  <si>
    <t>消化ガス</t>
    <rPh sb="0" eb="2">
      <t>ショウカ</t>
    </rPh>
    <phoneticPr fontId="29"/>
  </si>
  <si>
    <t>　　（可溶化消化率</t>
    <rPh sb="6" eb="8">
      <t>ショウカ</t>
    </rPh>
    <rPh sb="8" eb="9">
      <t>リツ</t>
    </rPh>
    <phoneticPr fontId="29"/>
  </si>
  <si>
    <t>蒸気</t>
    <rPh sb="0" eb="2">
      <t>ジョウキ</t>
    </rPh>
    <phoneticPr fontId="29"/>
  </si>
  <si>
    <t>　（OD脱水汚泥消化率</t>
    <rPh sb="4" eb="6">
      <t>ダッスイ</t>
    </rPh>
    <rPh sb="6" eb="8">
      <t>オデイ</t>
    </rPh>
    <rPh sb="8" eb="10">
      <t>ショウカ</t>
    </rPh>
    <rPh sb="10" eb="11">
      <t>リツ</t>
    </rPh>
    <phoneticPr fontId="29"/>
  </si>
  <si>
    <t>Q31</t>
    <phoneticPr fontId="29"/>
  </si>
  <si>
    <t>Q22</t>
    <phoneticPr fontId="29"/>
  </si>
  <si>
    <t>　可溶化装置</t>
    <phoneticPr fontId="29"/>
  </si>
  <si>
    <t>メタン濃度</t>
    <rPh sb="3" eb="5">
      <t>ノウド</t>
    </rPh>
    <phoneticPr fontId="29"/>
  </si>
  <si>
    <t>蒸気(追炊)</t>
    <rPh sb="0" eb="2">
      <t>ジョウキ</t>
    </rPh>
    <rPh sb="3" eb="5">
      <t>オイダ</t>
    </rPh>
    <phoneticPr fontId="29"/>
  </si>
  <si>
    <t>　　（食廃消化率</t>
    <rPh sb="3" eb="4">
      <t>ショク</t>
    </rPh>
    <rPh sb="4" eb="5">
      <t>スタ</t>
    </rPh>
    <rPh sb="5" eb="7">
      <t>ショウカ</t>
    </rPh>
    <rPh sb="7" eb="8">
      <t>リツ</t>
    </rPh>
    <phoneticPr fontId="29"/>
  </si>
  <si>
    <t>熱量</t>
    <rPh sb="0" eb="2">
      <t>ネツリョウ</t>
    </rPh>
    <phoneticPr fontId="29"/>
  </si>
  <si>
    <t>蒸気加温</t>
    <rPh sb="0" eb="2">
      <t>ジョウキ</t>
    </rPh>
    <rPh sb="2" eb="4">
      <t>カオン</t>
    </rPh>
    <phoneticPr fontId="29"/>
  </si>
  <si>
    <t>可溶化汚泥</t>
    <rPh sb="0" eb="3">
      <t>カヨウカ</t>
    </rPh>
    <rPh sb="3" eb="5">
      <t>オデイ</t>
    </rPh>
    <phoneticPr fontId="29"/>
  </si>
  <si>
    <t>Q33</t>
    <phoneticPr fontId="29"/>
  </si>
  <si>
    <t>Q17</t>
    <phoneticPr fontId="29"/>
  </si>
  <si>
    <t>加温熱量q</t>
    <rPh sb="0" eb="2">
      <t>カオン</t>
    </rPh>
    <rPh sb="2" eb="4">
      <t>ネツリョウ</t>
    </rPh>
    <phoneticPr fontId="29"/>
  </si>
  <si>
    <t>DS17</t>
    <phoneticPr fontId="29"/>
  </si>
  <si>
    <t>ボイラ効率</t>
    <rPh sb="3" eb="5">
      <t>コウリツ</t>
    </rPh>
    <phoneticPr fontId="29"/>
  </si>
  <si>
    <t>DS17%</t>
    <phoneticPr fontId="29"/>
  </si>
  <si>
    <t>%</t>
    <phoneticPr fontId="29"/>
  </si>
  <si>
    <t>消化汚泥(脱水送り)</t>
    <rPh sb="0" eb="2">
      <t>ショウカ</t>
    </rPh>
    <rPh sb="2" eb="4">
      <t>オデイ</t>
    </rPh>
    <rPh sb="5" eb="7">
      <t>ダッスイ</t>
    </rPh>
    <rPh sb="7" eb="8">
      <t>オク</t>
    </rPh>
    <phoneticPr fontId="29"/>
  </si>
  <si>
    <t>消化タンク加温必要エネルギーｑ1</t>
    <rPh sb="0" eb="2">
      <t>ショウカ</t>
    </rPh>
    <rPh sb="5" eb="7">
      <t>カオン</t>
    </rPh>
    <rPh sb="7" eb="9">
      <t>ヒツヨウ</t>
    </rPh>
    <phoneticPr fontId="29"/>
  </si>
  <si>
    <t>　脱水汚泥(可溶化送)</t>
    <rPh sb="9" eb="10">
      <t>オク</t>
    </rPh>
    <phoneticPr fontId="29"/>
  </si>
  <si>
    <t>=</t>
    <phoneticPr fontId="29"/>
  </si>
  <si>
    <t>Q16</t>
    <phoneticPr fontId="29"/>
  </si>
  <si>
    <t>t/日</t>
    <rPh sb="2" eb="3">
      <t>ニチ</t>
    </rPh>
    <phoneticPr fontId="29"/>
  </si>
  <si>
    <t>DS16</t>
    <phoneticPr fontId="29"/>
  </si>
  <si>
    <t>発電排熱による加温ｑ2</t>
    <rPh sb="0" eb="2">
      <t>ハツデン</t>
    </rPh>
    <rPh sb="2" eb="4">
      <t>ハイネツ</t>
    </rPh>
    <rPh sb="7" eb="9">
      <t>カオン</t>
    </rPh>
    <phoneticPr fontId="29"/>
  </si>
  <si>
    <t>加温熱量</t>
    <rPh sb="0" eb="2">
      <t>カオン</t>
    </rPh>
    <rPh sb="2" eb="4">
      <t>ネツリョウ</t>
    </rPh>
    <phoneticPr fontId="29"/>
  </si>
  <si>
    <t>脱水分離液</t>
    <rPh sb="0" eb="2">
      <t>ダッスイ</t>
    </rPh>
    <rPh sb="2" eb="4">
      <t>ブンリ</t>
    </rPh>
    <rPh sb="4" eb="5">
      <t>エキ</t>
    </rPh>
    <phoneticPr fontId="29"/>
  </si>
  <si>
    <t>脱水設備（BP）</t>
    <rPh sb="0" eb="2">
      <t>ダッスイ</t>
    </rPh>
    <rPh sb="2" eb="4">
      <t>セツビ</t>
    </rPh>
    <phoneticPr fontId="29"/>
  </si>
  <si>
    <t>ポリマー</t>
    <phoneticPr fontId="29"/>
  </si>
  <si>
    <t>（</t>
    <phoneticPr fontId="29"/>
  </si>
  <si>
    <t>(対TS</t>
    <rPh sb="1" eb="2">
      <t>タイ</t>
    </rPh>
    <phoneticPr fontId="29"/>
  </si>
  <si>
    <t>脱水汚泥</t>
    <rPh sb="0" eb="2">
      <t>ダッスイ</t>
    </rPh>
    <rPh sb="2" eb="4">
      <t>オデイ</t>
    </rPh>
    <phoneticPr fontId="29"/>
  </si>
  <si>
    <t>ｋｇ/日</t>
    <rPh sb="3" eb="4">
      <t>ニチ</t>
    </rPh>
    <phoneticPr fontId="29"/>
  </si>
  <si>
    <t>DS13</t>
    <phoneticPr fontId="29"/>
  </si>
  <si>
    <t>DS13%</t>
    <phoneticPr fontId="29"/>
  </si>
  <si>
    <t>VTS13%</t>
    <phoneticPr fontId="29"/>
  </si>
  <si>
    <t>ガス発生量</t>
    <rPh sb="2" eb="4">
      <t>ハッセイ</t>
    </rPh>
    <rPh sb="4" eb="5">
      <t>リョウ</t>
    </rPh>
    <phoneticPr fontId="29"/>
  </si>
  <si>
    <t>①</t>
    <phoneticPr fontId="29"/>
  </si>
  <si>
    <t>混合汚泥由来</t>
    <rPh sb="0" eb="2">
      <t>コンゴウ</t>
    </rPh>
    <rPh sb="2" eb="4">
      <t>オデイ</t>
    </rPh>
    <rPh sb="4" eb="6">
      <t>ユライ</t>
    </rPh>
    <phoneticPr fontId="29"/>
  </si>
  <si>
    <t>脱水汚泥（排出）</t>
    <rPh sb="0" eb="2">
      <t>ダッスイ</t>
    </rPh>
    <rPh sb="2" eb="4">
      <t>オデイ</t>
    </rPh>
    <rPh sb="5" eb="7">
      <t>ハイシュツ</t>
    </rPh>
    <phoneticPr fontId="29"/>
  </si>
  <si>
    <t>Q15</t>
    <phoneticPr fontId="29"/>
  </si>
  <si>
    <t>Nm3／日</t>
    <rPh sb="4" eb="5">
      <t>ニチ</t>
    </rPh>
    <phoneticPr fontId="29"/>
  </si>
  <si>
    <t>食品残渣由来</t>
    <rPh sb="0" eb="2">
      <t>ショクヒン</t>
    </rPh>
    <rPh sb="2" eb="4">
      <t>ザンサ</t>
    </rPh>
    <rPh sb="4" eb="6">
      <t>ユライ</t>
    </rPh>
    <phoneticPr fontId="29"/>
  </si>
  <si>
    <t>③</t>
    <phoneticPr fontId="29"/>
  </si>
  <si>
    <t>外部OD可溶化由来</t>
    <rPh sb="0" eb="2">
      <t>ガイブ</t>
    </rPh>
    <rPh sb="4" eb="7">
      <t>カヨウカ</t>
    </rPh>
    <rPh sb="7" eb="9">
      <t>ユライ</t>
    </rPh>
    <phoneticPr fontId="29"/>
  </si>
  <si>
    <t>消化汚泥可溶化由来</t>
    <rPh sb="0" eb="2">
      <t>ショウカ</t>
    </rPh>
    <rPh sb="2" eb="4">
      <t>オデイ</t>
    </rPh>
    <rPh sb="4" eb="7">
      <t>カヨウカ</t>
    </rPh>
    <rPh sb="7" eb="9">
      <t>ユライ</t>
    </rPh>
    <phoneticPr fontId="29"/>
  </si>
  <si>
    <t>（日平均3万ｔ）</t>
    <rPh sb="1" eb="2">
      <t>ニチ</t>
    </rPh>
    <rPh sb="2" eb="4">
      <t>ヘイキン</t>
    </rPh>
    <rPh sb="5" eb="6">
      <t>マン</t>
    </rPh>
    <phoneticPr fontId="30"/>
  </si>
  <si>
    <t>VTS1%</t>
    <phoneticPr fontId="29"/>
  </si>
  <si>
    <t>Q6</t>
    <phoneticPr fontId="29"/>
  </si>
  <si>
    <t>　</t>
    <phoneticPr fontId="29"/>
  </si>
  <si>
    <t>MJ/Nｍ3</t>
    <phoneticPr fontId="29"/>
  </si>
  <si>
    <t>発電量(kW)</t>
    <rPh sb="2" eb="3">
      <t>リョウ</t>
    </rPh>
    <phoneticPr fontId="2"/>
  </si>
  <si>
    <t>発電効率(%)</t>
    <rPh sb="0" eb="2">
      <t>ハツデン</t>
    </rPh>
    <rPh sb="2" eb="4">
      <t>コウリツ</t>
    </rPh>
    <phoneticPr fontId="2"/>
  </si>
  <si>
    <r>
      <t>発電 ガスエンジン( 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</si>
  <si>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r>
      <t>投入量     (m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</si>
  <si>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t>脱水汚泥　(日平均)</t>
    <phoneticPr fontId="2"/>
  </si>
  <si>
    <r>
      <t>消化汚泥流量 (m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</si>
  <si>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t>食品廃棄物（日平均）</t>
    <rPh sb="6" eb="7">
      <t>ニチ</t>
    </rPh>
    <phoneticPr fontId="2"/>
  </si>
  <si>
    <t>混合濃縮汚泥　（日平均）</t>
    <rPh sb="8" eb="9">
      <t>ニチ</t>
    </rPh>
    <phoneticPr fontId="2"/>
  </si>
  <si>
    <t>可溶化汚泥（日平均）</t>
    <rPh sb="6" eb="7">
      <t>ニチ</t>
    </rPh>
    <phoneticPr fontId="2"/>
  </si>
  <si>
    <t>　　発電　(ガスエンジン)　　　　　　（日平均）　　</t>
    <rPh sb="20" eb="21">
      <t>ニチ</t>
    </rPh>
    <phoneticPr fontId="2"/>
  </si>
  <si>
    <t>　バイオガス（日平均）</t>
    <rPh sb="7" eb="8">
      <t>ニチ</t>
    </rPh>
    <phoneticPr fontId="2"/>
  </si>
  <si>
    <t>消化汚泥（日平均）</t>
    <rPh sb="5" eb="6">
      <t>ニチ</t>
    </rPh>
    <phoneticPr fontId="2"/>
  </si>
  <si>
    <t>）</t>
    <phoneticPr fontId="29"/>
  </si>
  <si>
    <t>発生率(濃)</t>
    <rPh sb="0" eb="2">
      <t>ハッセイ</t>
    </rPh>
    <rPh sb="2" eb="3">
      <t>リツ</t>
    </rPh>
    <rPh sb="4" eb="5">
      <t>ノウ</t>
    </rPh>
    <phoneticPr fontId="29"/>
  </si>
  <si>
    <t>発生率(可)</t>
    <rPh sb="0" eb="2">
      <t>ハッセイ</t>
    </rPh>
    <rPh sb="2" eb="3">
      <t>リツ</t>
    </rPh>
    <rPh sb="4" eb="5">
      <t>カ</t>
    </rPh>
    <phoneticPr fontId="29"/>
  </si>
  <si>
    <t>発生率(OD可)</t>
    <rPh sb="0" eb="2">
      <t>ハッセイ</t>
    </rPh>
    <rPh sb="2" eb="3">
      <t>リツ</t>
    </rPh>
    <rPh sb="6" eb="7">
      <t>カ</t>
    </rPh>
    <phoneticPr fontId="29"/>
  </si>
  <si>
    <t>m3/kｇ-VS</t>
    <phoneticPr fontId="29"/>
  </si>
  <si>
    <t>発生率(食)</t>
    <rPh sb="0" eb="2">
      <t>ハッセイ</t>
    </rPh>
    <rPh sb="2" eb="3">
      <t>リツ</t>
    </rPh>
    <rPh sb="4" eb="5">
      <t>ショク</t>
    </rPh>
    <phoneticPr fontId="29"/>
  </si>
  <si>
    <t xml:space="preserve"> OD脱水汚泥</t>
    <phoneticPr fontId="29"/>
  </si>
  <si>
    <t>DS1</t>
    <phoneticPr fontId="29"/>
  </si>
  <si>
    <t>DS2</t>
    <phoneticPr fontId="29"/>
  </si>
  <si>
    <t>DS1%</t>
    <phoneticPr fontId="29"/>
  </si>
  <si>
    <t>%</t>
    <phoneticPr fontId="29"/>
  </si>
  <si>
    <t>DS2%</t>
    <phoneticPr fontId="29"/>
  </si>
  <si>
    <t>VTS1%</t>
    <phoneticPr fontId="29"/>
  </si>
  <si>
    <t>Q4</t>
    <phoneticPr fontId="29"/>
  </si>
  <si>
    <t>DS4</t>
    <phoneticPr fontId="29"/>
  </si>
  <si>
    <t>DS6</t>
    <phoneticPr fontId="29"/>
  </si>
  <si>
    <t>DS4%</t>
    <phoneticPr fontId="29"/>
  </si>
  <si>
    <t>DS6%</t>
    <phoneticPr fontId="29"/>
  </si>
  <si>
    <t>VTS4%</t>
    <phoneticPr fontId="29"/>
  </si>
  <si>
    <t>%　</t>
    <phoneticPr fontId="29"/>
  </si>
  <si>
    <t>VTS6%</t>
    <phoneticPr fontId="29"/>
  </si>
  <si>
    <t>Q3</t>
    <phoneticPr fontId="29"/>
  </si>
  <si>
    <t>DS3%</t>
    <phoneticPr fontId="29"/>
  </si>
  <si>
    <t>%</t>
    <phoneticPr fontId="29"/>
  </si>
  <si>
    <t>VTS3%</t>
    <phoneticPr fontId="29"/>
  </si>
  <si>
    <t>%　</t>
    <phoneticPr fontId="29"/>
  </si>
  <si>
    <t>　消化タンク投入汚泥</t>
    <phoneticPr fontId="29"/>
  </si>
  <si>
    <t>DS11</t>
    <phoneticPr fontId="29"/>
  </si>
  <si>
    <t>Q34</t>
    <phoneticPr fontId="29"/>
  </si>
  <si>
    <t>DS11%</t>
    <phoneticPr fontId="29"/>
  </si>
  <si>
    <t>VTS11%</t>
    <phoneticPr fontId="29"/>
  </si>
  <si>
    <t>℃</t>
    <phoneticPr fontId="29"/>
  </si>
  <si>
    <t>℃</t>
    <phoneticPr fontId="29"/>
  </si>
  <si>
    <t>Q32</t>
    <phoneticPr fontId="29"/>
  </si>
  <si>
    <t>m3/kｇ-VS</t>
    <phoneticPr fontId="29"/>
  </si>
  <si>
    <t>kW</t>
    <phoneticPr fontId="29"/>
  </si>
  <si>
    <t>Q23</t>
    <phoneticPr fontId="29"/>
  </si>
  <si>
    <t>VTS17%</t>
    <phoneticPr fontId="29"/>
  </si>
  <si>
    <t>Q12</t>
    <phoneticPr fontId="29"/>
  </si>
  <si>
    <t>DS12</t>
    <phoneticPr fontId="29"/>
  </si>
  <si>
    <t>DS12%</t>
    <phoneticPr fontId="29"/>
  </si>
  <si>
    <t>=</t>
    <phoneticPr fontId="29"/>
  </si>
  <si>
    <t>VTS12%</t>
    <phoneticPr fontId="29"/>
  </si>
  <si>
    <t>DS16%</t>
    <phoneticPr fontId="29"/>
  </si>
  <si>
    <t xml:space="preserve">q2= </t>
    <phoneticPr fontId="29"/>
  </si>
  <si>
    <t>×（</t>
    <phoneticPr fontId="29"/>
  </si>
  <si>
    <t>-</t>
    <phoneticPr fontId="29"/>
  </si>
  <si>
    <t>）×4.186</t>
    <phoneticPr fontId="29"/>
  </si>
  <si>
    <t>VTS16%</t>
    <phoneticPr fontId="29"/>
  </si>
  <si>
    <t>q= ｑ1-ｑ2</t>
    <phoneticPr fontId="29"/>
  </si>
  <si>
    <t>Q14</t>
    <phoneticPr fontId="29"/>
  </si>
  <si>
    <t>）</t>
    <phoneticPr fontId="29"/>
  </si>
  <si>
    <t>DS14</t>
    <phoneticPr fontId="29"/>
  </si>
  <si>
    <t>Q21</t>
    <phoneticPr fontId="29"/>
  </si>
  <si>
    <t>SOFC</t>
    <phoneticPr fontId="29"/>
  </si>
  <si>
    <t>DS21</t>
    <phoneticPr fontId="29"/>
  </si>
  <si>
    <t>Q13</t>
    <phoneticPr fontId="29"/>
  </si>
  <si>
    <t>m3/日</t>
    <phoneticPr fontId="29"/>
  </si>
  <si>
    <t>＝</t>
    <phoneticPr fontId="29"/>
  </si>
  <si>
    <t>DS15</t>
    <phoneticPr fontId="29"/>
  </si>
  <si>
    <t>②</t>
    <phoneticPr fontId="29"/>
  </si>
  <si>
    <t>DS15%</t>
    <phoneticPr fontId="29"/>
  </si>
  <si>
    <t>VTS15%</t>
    <phoneticPr fontId="29"/>
  </si>
  <si>
    <t>＝</t>
    <phoneticPr fontId="29"/>
  </si>
  <si>
    <t>④</t>
    <phoneticPr fontId="29"/>
  </si>
  <si>
    <t>可溶化投入率</t>
    <rPh sb="0" eb="3">
      <t>カヨウカ</t>
    </rPh>
    <rPh sb="3" eb="5">
      <t>トウニュウ</t>
    </rPh>
    <rPh sb="5" eb="6">
      <t>リツ</t>
    </rPh>
    <phoneticPr fontId="2"/>
  </si>
  <si>
    <t>（可溶化）</t>
    <rPh sb="1" eb="4">
      <t>カヨウカ</t>
    </rPh>
    <phoneticPr fontId="2"/>
  </si>
  <si>
    <t>（OD含む）</t>
    <rPh sb="3" eb="4">
      <t>フク</t>
    </rPh>
    <phoneticPr fontId="2"/>
  </si>
  <si>
    <t>m3/kｇ-VS</t>
    <phoneticPr fontId="2"/>
  </si>
  <si>
    <t>OD脱水汚泥　（日平均）</t>
    <rPh sb="8" eb="9">
      <t>ニチ</t>
    </rPh>
    <rPh sb="9" eb="11">
      <t>ヘイキン</t>
    </rPh>
    <phoneticPr fontId="2"/>
  </si>
  <si>
    <t>CASE　3-1</t>
    <phoneticPr fontId="30"/>
  </si>
  <si>
    <t>2018.12</t>
    <phoneticPr fontId="2"/>
  </si>
  <si>
    <t>温度  ( ℃)</t>
    <rPh sb="0" eb="2">
      <t>オンド</t>
    </rPh>
    <phoneticPr fontId="2"/>
  </si>
  <si>
    <t>食廃     ( t/日)</t>
    <rPh sb="0" eb="1">
      <t>ショク</t>
    </rPh>
    <rPh sb="1" eb="2">
      <t>ハイ</t>
    </rPh>
    <phoneticPr fontId="2"/>
  </si>
  <si>
    <t>希釈水量  ( t/日)</t>
    <rPh sb="0" eb="2">
      <t>キシャク</t>
    </rPh>
    <rPh sb="2" eb="3">
      <t>スイ</t>
    </rPh>
    <rPh sb="3" eb="4">
      <t>リョウ</t>
    </rPh>
    <phoneticPr fontId="2"/>
  </si>
  <si>
    <t>脱水汚泥（可溶化）</t>
    <rPh sb="0" eb="2">
      <t>ダッスイ</t>
    </rPh>
    <rPh sb="5" eb="8">
      <t>カヨウカ</t>
    </rPh>
    <phoneticPr fontId="2"/>
  </si>
  <si>
    <t>可溶化必要熱量  (MJ/日)</t>
    <rPh sb="0" eb="3">
      <t>カヨウカ</t>
    </rPh>
    <rPh sb="3" eb="5">
      <t>ヒツヨウ</t>
    </rPh>
    <rPh sb="5" eb="7">
      <t>ネツリョウ</t>
    </rPh>
    <phoneticPr fontId="2"/>
  </si>
  <si>
    <t>　蒸気ボイラーからの熱供給</t>
    <rPh sb="1" eb="3">
      <t>ジョウキ</t>
    </rPh>
    <rPh sb="10" eb="11">
      <t>ネツ</t>
    </rPh>
    <rPh sb="11" eb="13">
      <t>キョウキュウ</t>
    </rPh>
    <phoneticPr fontId="2"/>
  </si>
  <si>
    <t>追加供給熱量  (MJ/日)</t>
    <rPh sb="0" eb="2">
      <t>ツイカ</t>
    </rPh>
    <rPh sb="2" eb="4">
      <t>キョウキュウ</t>
    </rPh>
    <rPh sb="4" eb="6">
      <t>ネツリョウ</t>
    </rPh>
    <phoneticPr fontId="2"/>
  </si>
  <si>
    <t>合計  (MJ/日)</t>
    <rPh sb="0" eb="2">
      <t>ゴウケイ</t>
    </rPh>
    <phoneticPr fontId="2"/>
  </si>
  <si>
    <t>　発電機からの熱供給</t>
    <rPh sb="1" eb="4">
      <t>ハツデンキ</t>
    </rPh>
    <rPh sb="7" eb="8">
      <t>ネツ</t>
    </rPh>
    <rPh sb="8" eb="10">
      <t>キョウキュウ</t>
    </rPh>
    <phoneticPr fontId="2"/>
  </si>
  <si>
    <t>回収温水  (℃)</t>
    <rPh sb="0" eb="2">
      <t>カイシュウ</t>
    </rPh>
    <rPh sb="2" eb="4">
      <t>オンスイ</t>
    </rPh>
    <phoneticPr fontId="2"/>
  </si>
  <si>
    <t>65~70</t>
    <phoneticPr fontId="2"/>
  </si>
  <si>
    <t>給水余熱  (MJ/日)</t>
    <rPh sb="0" eb="2">
      <t>キュウスイ</t>
    </rPh>
    <rPh sb="2" eb="4">
      <t>ヨネツ</t>
    </rPh>
    <phoneticPr fontId="2"/>
  </si>
  <si>
    <t>% *</t>
    <phoneticPr fontId="29"/>
  </si>
  <si>
    <t>* : VTS16% ≒VTS12%</t>
    <phoneticPr fontId="2"/>
  </si>
  <si>
    <t>となるように入力する。</t>
    <rPh sb="6" eb="8">
      <t>ニュウリョク</t>
    </rPh>
    <phoneticPr fontId="2"/>
  </si>
  <si>
    <t>赤字　</t>
    <rPh sb="0" eb="2">
      <t>アカジ</t>
    </rPh>
    <phoneticPr fontId="2"/>
  </si>
  <si>
    <t>：　入力値</t>
    <rPh sb="2" eb="4">
      <t>ニュウリョク</t>
    </rPh>
    <phoneticPr fontId="2"/>
  </si>
  <si>
    <t>青字　</t>
    <rPh sb="0" eb="2">
      <t>アオジ</t>
    </rPh>
    <phoneticPr fontId="2"/>
  </si>
  <si>
    <t>：　設定値</t>
    <rPh sb="2" eb="5">
      <t>セッテイチ</t>
    </rPh>
    <phoneticPr fontId="2"/>
  </si>
  <si>
    <t>Q2</t>
    <phoneticPr fontId="29"/>
  </si>
  <si>
    <t>消化槽投入汚泥</t>
    <rPh sb="0" eb="2">
      <t>ショウカ</t>
    </rPh>
    <rPh sb="2" eb="3">
      <t>ソウ</t>
    </rPh>
    <rPh sb="3" eb="5">
      <t>トウニュウ</t>
    </rPh>
    <rPh sb="5" eb="7">
      <t>オデイ</t>
    </rPh>
    <phoneticPr fontId="2"/>
  </si>
  <si>
    <t>消化脱水汚泥</t>
    <rPh sb="0" eb="2">
      <t>ショウカ</t>
    </rPh>
    <rPh sb="2" eb="4">
      <t>ダッスイ</t>
    </rPh>
    <rPh sb="4" eb="6">
      <t>オデイ</t>
    </rPh>
    <phoneticPr fontId="2"/>
  </si>
  <si>
    <t>黒字　</t>
    <rPh sb="0" eb="2">
      <t>クロジ</t>
    </rPh>
    <phoneticPr fontId="2"/>
  </si>
  <si>
    <t>：　計算値</t>
    <rPh sb="2" eb="5">
      <t>ケイサンチ</t>
    </rPh>
    <phoneticPr fontId="2"/>
  </si>
  <si>
    <t>可溶化汚泥</t>
    <rPh sb="0" eb="3">
      <t>カヨウカ</t>
    </rPh>
    <rPh sb="3" eb="5">
      <t>オデイ</t>
    </rPh>
    <phoneticPr fontId="2"/>
  </si>
  <si>
    <t>混合濃縮汚泥</t>
    <rPh sb="0" eb="2">
      <t>コンゴウ</t>
    </rPh>
    <rPh sb="2" eb="4">
      <t>ノウシュク</t>
    </rPh>
    <rPh sb="4" eb="6">
      <t>オデイ</t>
    </rPh>
    <phoneticPr fontId="2"/>
  </si>
  <si>
    <t>OD脱水汚泥</t>
    <rPh sb="2" eb="4">
      <t>ダッスイ</t>
    </rPh>
    <rPh sb="4" eb="6">
      <t>オデイ</t>
    </rPh>
    <phoneticPr fontId="2"/>
  </si>
  <si>
    <t>食品廃棄物</t>
  </si>
  <si>
    <t>投入物</t>
    <rPh sb="0" eb="2">
      <t>トウニュウ</t>
    </rPh>
    <rPh sb="2" eb="3">
      <t>ブツ</t>
    </rPh>
    <phoneticPr fontId="2"/>
  </si>
  <si>
    <t>消化槽温度</t>
    <rPh sb="0" eb="2">
      <t>ショウカ</t>
    </rPh>
    <rPh sb="2" eb="3">
      <t>ソウ</t>
    </rPh>
    <rPh sb="3" eb="5">
      <t>オンド</t>
    </rPh>
    <phoneticPr fontId="2"/>
  </si>
  <si>
    <t>入力値</t>
    <rPh sb="0" eb="3">
      <t>ニュウリョクチ</t>
    </rPh>
    <phoneticPr fontId="2"/>
  </si>
  <si>
    <t>1.</t>
    <phoneticPr fontId="2"/>
  </si>
  <si>
    <t>2.</t>
  </si>
  <si>
    <t>3.</t>
  </si>
  <si>
    <t>発電機(小型ガスエンジン)</t>
    <rPh sb="0" eb="3">
      <t>ハツデンキ</t>
    </rPh>
    <rPh sb="4" eb="6">
      <t>コガタ</t>
    </rPh>
    <phoneticPr fontId="29"/>
  </si>
  <si>
    <t>4.</t>
    <phoneticPr fontId="2"/>
  </si>
  <si>
    <t>可溶化投入率</t>
    <rPh sb="0" eb="3">
      <t>カヨウカ</t>
    </rPh>
    <rPh sb="3" eb="5">
      <t>トウニュウ</t>
    </rPh>
    <rPh sb="5" eb="6">
      <t>リツ</t>
    </rPh>
    <phoneticPr fontId="2"/>
  </si>
  <si>
    <t>・・計算値（0.7以下であることを確認）</t>
    <rPh sb="2" eb="5">
      <t>ケイサンチ</t>
    </rPh>
    <rPh sb="9" eb="11">
      <t>イカ</t>
    </rPh>
    <rPh sb="17" eb="19">
      <t>カクニン</t>
    </rPh>
    <phoneticPr fontId="2"/>
  </si>
  <si>
    <t>5.</t>
  </si>
  <si>
    <t>設定値</t>
    <rPh sb="0" eb="3">
      <t>セッテイチ</t>
    </rPh>
    <phoneticPr fontId="2"/>
  </si>
  <si>
    <t>可溶化投入消化汚泥VTS</t>
    <rPh sb="0" eb="3">
      <t>カヨウカ</t>
    </rPh>
    <rPh sb="3" eb="5">
      <t>トウニュウ</t>
    </rPh>
    <rPh sb="5" eb="7">
      <t>ショウカ</t>
    </rPh>
    <phoneticPr fontId="2"/>
  </si>
  <si>
    <t>消化汚泥VTS</t>
    <rPh sb="0" eb="2">
      <t>ショウカ</t>
    </rPh>
    <rPh sb="2" eb="4">
      <t>オデイ</t>
    </rPh>
    <phoneticPr fontId="2"/>
  </si>
  <si>
    <t xml:space="preserve">固形物量 </t>
    <phoneticPr fontId="2"/>
  </si>
  <si>
    <t>汚泥濃度</t>
    <phoneticPr fontId="2"/>
  </si>
  <si>
    <t xml:space="preserve">VTS     </t>
    <phoneticPr fontId="2"/>
  </si>
  <si>
    <t>（消化汚泥含む）</t>
    <rPh sb="1" eb="3">
      <t>ショウカ</t>
    </rPh>
    <rPh sb="3" eb="5">
      <t>オデイ</t>
    </rPh>
    <rPh sb="5" eb="6">
      <t>フク</t>
    </rPh>
    <phoneticPr fontId="2"/>
  </si>
  <si>
    <t>0.4～0.7で設定（脱水分離液への負荷）</t>
    <rPh sb="8" eb="10">
      <t>セッテイ</t>
    </rPh>
    <rPh sb="11" eb="13">
      <t>ダッスイ</t>
    </rPh>
    <rPh sb="13" eb="15">
      <t>ブンリ</t>
    </rPh>
    <rPh sb="15" eb="16">
      <t>エキ</t>
    </rPh>
    <rPh sb="18" eb="20">
      <t>フカ</t>
    </rPh>
    <phoneticPr fontId="2"/>
  </si>
  <si>
    <t>6.</t>
  </si>
  <si>
    <t>ループ計算</t>
    <rPh sb="3" eb="5">
      <t>ケイサン</t>
    </rPh>
    <phoneticPr fontId="2"/>
  </si>
  <si>
    <t>脱水汚泥含水率</t>
    <rPh sb="0" eb="2">
      <t>ダッスイ</t>
    </rPh>
    <rPh sb="2" eb="4">
      <t>オデイ</t>
    </rPh>
    <rPh sb="4" eb="6">
      <t>ガンスイ</t>
    </rPh>
    <rPh sb="6" eb="7">
      <t>リツ</t>
    </rPh>
    <phoneticPr fontId="2"/>
  </si>
  <si>
    <t>・・記入（消化汚泥VTSと同値になるまで繰返し記入）</t>
    <rPh sb="2" eb="4">
      <t>キニュウ</t>
    </rPh>
    <rPh sb="5" eb="7">
      <t>ショウカ</t>
    </rPh>
    <rPh sb="7" eb="9">
      <t>オデイ</t>
    </rPh>
    <rPh sb="13" eb="14">
      <t>ドウ</t>
    </rPh>
    <rPh sb="14" eb="15">
      <t>チ</t>
    </rPh>
    <rPh sb="20" eb="21">
      <t>ク</t>
    </rPh>
    <rPh sb="21" eb="22">
      <t>カエ</t>
    </rPh>
    <rPh sb="23" eb="25">
      <t>キニュウ</t>
    </rPh>
    <phoneticPr fontId="2"/>
  </si>
  <si>
    <t>・・計算値（ループ計算確認用）</t>
    <rPh sb="2" eb="5">
      <t>ケイサンチ</t>
    </rPh>
    <rPh sb="9" eb="11">
      <t>ケイサン</t>
    </rPh>
    <rPh sb="11" eb="13">
      <t>カクニン</t>
    </rPh>
    <rPh sb="13" eb="14">
      <t>ヨウ</t>
    </rPh>
    <phoneticPr fontId="2"/>
  </si>
  <si>
    <t>・・中温消化と比較して4～6％低減</t>
    <rPh sb="2" eb="4">
      <t>チュウオン</t>
    </rPh>
    <rPh sb="4" eb="6">
      <t>ショウカ</t>
    </rPh>
    <rPh sb="7" eb="9">
      <t>ヒカク</t>
    </rPh>
    <rPh sb="15" eb="17">
      <t>テイゲン</t>
    </rPh>
    <phoneticPr fontId="2"/>
  </si>
  <si>
    <t>(t/日)</t>
    <rPh sb="3" eb="4">
      <t>ニチ</t>
    </rPh>
    <phoneticPr fontId="29"/>
  </si>
  <si>
    <t>(％)</t>
    <phoneticPr fontId="2"/>
  </si>
  <si>
    <t>(％)</t>
    <phoneticPr fontId="2"/>
  </si>
  <si>
    <t>7.</t>
  </si>
  <si>
    <t>(℃)</t>
    <phoneticPr fontId="29"/>
  </si>
  <si>
    <t>(-)</t>
    <phoneticPr fontId="2"/>
  </si>
  <si>
    <t>発電量</t>
    <rPh sb="0" eb="2">
      <t>ハツデン</t>
    </rPh>
    <rPh sb="2" eb="3">
      <t>リョウ</t>
    </rPh>
    <phoneticPr fontId="2"/>
  </si>
  <si>
    <t>(ｋW)</t>
    <phoneticPr fontId="2"/>
  </si>
  <si>
    <t>発電機(SOFC)</t>
    <rPh sb="0" eb="3">
      <t>ハツデンキ</t>
    </rPh>
    <phoneticPr fontId="29"/>
  </si>
  <si>
    <t>：日平均値を記入</t>
    <rPh sb="2" eb="4">
      <t>ヘイキン</t>
    </rPh>
    <phoneticPr fontId="2"/>
  </si>
  <si>
    <t>固定値</t>
    <rPh sb="0" eb="3">
      <t>コテイチ</t>
    </rPh>
    <phoneticPr fontId="2"/>
  </si>
  <si>
    <t>消化槽投入物</t>
    <rPh sb="0" eb="2">
      <t>ショウカ</t>
    </rPh>
    <rPh sb="2" eb="3">
      <t>ソウ</t>
    </rPh>
    <rPh sb="3" eb="5">
      <t>トウニュウ</t>
    </rPh>
    <rPh sb="5" eb="6">
      <t>ブツ</t>
    </rPh>
    <phoneticPr fontId="2"/>
  </si>
  <si>
    <t>搬出</t>
    <rPh sb="0" eb="2">
      <t>ハンシュツ</t>
    </rPh>
    <phoneticPr fontId="29"/>
  </si>
  <si>
    <t>8.</t>
  </si>
  <si>
    <t>脱水機固形物回収率</t>
    <rPh sb="0" eb="2">
      <t>ダッスイ</t>
    </rPh>
    <rPh sb="2" eb="3">
      <t>キ</t>
    </rPh>
    <rPh sb="3" eb="6">
      <t>コケイブツ</t>
    </rPh>
    <rPh sb="6" eb="8">
      <t>カイシュウ</t>
    </rPh>
    <rPh sb="8" eb="9">
      <t>リツ</t>
    </rPh>
    <phoneticPr fontId="2"/>
  </si>
  <si>
    <t>諸元値一覧</t>
    <rPh sb="0" eb="2">
      <t>ショゲン</t>
    </rPh>
    <rPh sb="2" eb="3">
      <t>チ</t>
    </rPh>
    <rPh sb="3" eb="5">
      <t>イチラン</t>
    </rPh>
    <phoneticPr fontId="2"/>
  </si>
  <si>
    <t>総費用（年価換算値）</t>
    <rPh sb="0" eb="3">
      <t>ソウヒヨウ</t>
    </rPh>
    <rPh sb="4" eb="6">
      <t>ネンカ</t>
    </rPh>
    <rPh sb="6" eb="9">
      <t>カンサンチ</t>
    </rPh>
    <phoneticPr fontId="2"/>
  </si>
  <si>
    <t>技術区分</t>
    <rPh sb="0" eb="2">
      <t>ギジュツ</t>
    </rPh>
    <rPh sb="2" eb="4">
      <t>クブン</t>
    </rPh>
    <phoneticPr fontId="2"/>
  </si>
  <si>
    <t>設備名称</t>
    <rPh sb="0" eb="2">
      <t>セツビ</t>
    </rPh>
    <rPh sb="2" eb="4">
      <t>メイショウ</t>
    </rPh>
    <phoneticPr fontId="2"/>
  </si>
  <si>
    <t>項目</t>
    <rPh sb="0" eb="2">
      <t>コウモク</t>
    </rPh>
    <phoneticPr fontId="2"/>
  </si>
  <si>
    <t>単位</t>
    <rPh sb="0" eb="2">
      <t>タンイ</t>
    </rPh>
    <phoneticPr fontId="2"/>
  </si>
  <si>
    <t>費用関数</t>
    <rPh sb="0" eb="2">
      <t>ヒヨウ</t>
    </rPh>
    <rPh sb="2" eb="4">
      <t>カンスウ</t>
    </rPh>
    <phoneticPr fontId="2"/>
  </si>
  <si>
    <t>備考</t>
    <rPh sb="0" eb="2">
      <t>ビコウ</t>
    </rPh>
    <phoneticPr fontId="2"/>
  </si>
  <si>
    <t>従来技術</t>
    <rPh sb="0" eb="2">
      <t>ジュウライ</t>
    </rPh>
    <rPh sb="2" eb="4">
      <t>ギジュツ</t>
    </rPh>
    <phoneticPr fontId="2"/>
  </si>
  <si>
    <t>機械建設費</t>
    <rPh sb="0" eb="2">
      <t>キカイ</t>
    </rPh>
    <rPh sb="2" eb="5">
      <t>ケンセツヒ</t>
    </rPh>
    <phoneticPr fontId="2"/>
  </si>
  <si>
    <t>電気建設費</t>
    <rPh sb="0" eb="2">
      <t>デンキ</t>
    </rPh>
    <rPh sb="2" eb="5">
      <t>ケンセツヒ</t>
    </rPh>
    <phoneticPr fontId="2"/>
  </si>
  <si>
    <t>建設費合計</t>
    <rPh sb="0" eb="3">
      <t>ケンセツヒ</t>
    </rPh>
    <rPh sb="3" eb="5">
      <t>ゴウケイ</t>
    </rPh>
    <phoneticPr fontId="2"/>
  </si>
  <si>
    <t>建設費年価</t>
    <rPh sb="0" eb="3">
      <t>ケンセツヒ</t>
    </rPh>
    <rPh sb="3" eb="4">
      <t>ネン</t>
    </rPh>
    <rPh sb="4" eb="5">
      <t>カ</t>
    </rPh>
    <phoneticPr fontId="2"/>
  </si>
  <si>
    <t>維持管理費
(電力、燃料、薬品費、補修費、人件費)</t>
    <rPh sb="0" eb="2">
      <t>イジ</t>
    </rPh>
    <rPh sb="2" eb="5">
      <t>カンリヒ</t>
    </rPh>
    <rPh sb="7" eb="9">
      <t>デンリョク</t>
    </rPh>
    <rPh sb="10" eb="12">
      <t>ネンリョウ</t>
    </rPh>
    <rPh sb="13" eb="15">
      <t>ヤクヒン</t>
    </rPh>
    <rPh sb="15" eb="16">
      <t>ヒ</t>
    </rPh>
    <rPh sb="17" eb="20">
      <t>ホシュウヒ</t>
    </rPh>
    <rPh sb="21" eb="24">
      <t>ジンケンヒ</t>
    </rPh>
    <phoneticPr fontId="2"/>
  </si>
  <si>
    <t>土木建築施設</t>
    <rPh sb="0" eb="2">
      <t>ドボク</t>
    </rPh>
    <rPh sb="2" eb="4">
      <t>ケンチク</t>
    </rPh>
    <rPh sb="4" eb="6">
      <t>シセツ</t>
    </rPh>
    <phoneticPr fontId="2"/>
  </si>
  <si>
    <t>総費用(年価換算値)</t>
    <rPh sb="0" eb="3">
      <t>ソウヒヨウ</t>
    </rPh>
    <rPh sb="4" eb="5">
      <t>トシ</t>
    </rPh>
    <rPh sb="5" eb="6">
      <t>アタイ</t>
    </rPh>
    <rPh sb="6" eb="8">
      <t>カンサン</t>
    </rPh>
    <rPh sb="8" eb="9">
      <t>アタイ</t>
    </rPh>
    <phoneticPr fontId="2"/>
  </si>
  <si>
    <t>革新的技術</t>
    <rPh sb="0" eb="3">
      <t>カクシンテキ</t>
    </rPh>
    <rPh sb="3" eb="5">
      <t>ギジュツ</t>
    </rPh>
    <phoneticPr fontId="2"/>
  </si>
  <si>
    <t>総費用（年価換算値）削減効果</t>
    <rPh sb="0" eb="3">
      <t>ソウヒヨウ</t>
    </rPh>
    <rPh sb="4" eb="6">
      <t>ネンカ</t>
    </rPh>
    <rPh sb="6" eb="8">
      <t>カンサン</t>
    </rPh>
    <rPh sb="8" eb="9">
      <t>チ</t>
    </rPh>
    <rPh sb="10" eb="12">
      <t>サクゲン</t>
    </rPh>
    <rPh sb="12" eb="14">
      <t>コウカ</t>
    </rPh>
    <phoneticPr fontId="2"/>
  </si>
  <si>
    <t>％</t>
    <phoneticPr fontId="2"/>
  </si>
  <si>
    <t>(1-b/a)×100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</si>
  <si>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2"/>
  </si>
  <si>
    <t>温室効果ガス削減効果</t>
    <rPh sb="0" eb="2">
      <t>オンシツ</t>
    </rPh>
    <rPh sb="2" eb="4">
      <t>コウカ</t>
    </rPh>
    <rPh sb="6" eb="8">
      <t>サクゲン</t>
    </rPh>
    <rPh sb="8" eb="10">
      <t>コウカ</t>
    </rPh>
    <phoneticPr fontId="2"/>
  </si>
  <si>
    <t>⑥</t>
    <phoneticPr fontId="2"/>
  </si>
  <si>
    <t>⑧</t>
    <phoneticPr fontId="2"/>
  </si>
  <si>
    <t>年価係数</t>
    <rPh sb="0" eb="1">
      <t>ネン</t>
    </rPh>
    <rPh sb="1" eb="2">
      <t>カ</t>
    </rPh>
    <rPh sb="2" eb="4">
      <t>ケイスウ</t>
    </rPh>
    <phoneticPr fontId="2"/>
  </si>
  <si>
    <t>消化ガス設備</t>
    <rPh sb="0" eb="2">
      <t>ショウカ</t>
    </rPh>
    <rPh sb="4" eb="6">
      <t>セツビ</t>
    </rPh>
    <phoneticPr fontId="2"/>
  </si>
  <si>
    <t>消化設備</t>
    <rPh sb="0" eb="2">
      <t>ショウカ</t>
    </rPh>
    <rPh sb="2" eb="4">
      <t>セツビ</t>
    </rPh>
    <phoneticPr fontId="2"/>
  </si>
  <si>
    <t>　i：利子率</t>
    <phoneticPr fontId="2"/>
  </si>
  <si>
    <t>計画処理量／日平均処理量</t>
    <rPh sb="0" eb="2">
      <t>ケイカク</t>
    </rPh>
    <rPh sb="2" eb="4">
      <t>ショリ</t>
    </rPh>
    <rPh sb="4" eb="5">
      <t>リョウ</t>
    </rPh>
    <rPh sb="6" eb="7">
      <t>ニチ</t>
    </rPh>
    <rPh sb="7" eb="9">
      <t>ヘイキン</t>
    </rPh>
    <rPh sb="9" eb="11">
      <t>ショリ</t>
    </rPh>
    <rPh sb="11" eb="12">
      <t>リョウ</t>
    </rPh>
    <phoneticPr fontId="2"/>
  </si>
  <si>
    <t>電力単価</t>
    <rPh sb="0" eb="2">
      <t>デンリョク</t>
    </rPh>
    <rPh sb="2" eb="4">
      <t>タンカ</t>
    </rPh>
    <phoneticPr fontId="2"/>
  </si>
  <si>
    <t>(円/kWh)</t>
    <phoneticPr fontId="2"/>
  </si>
  <si>
    <t>(円/t-wet)</t>
    <phoneticPr fontId="2"/>
  </si>
  <si>
    <t>(円/kWh)</t>
    <phoneticPr fontId="2"/>
  </si>
  <si>
    <t>汚泥処分費(運搬込)</t>
    <rPh sb="0" eb="2">
      <t>オデイ</t>
    </rPh>
    <rPh sb="2" eb="4">
      <t>ショブン</t>
    </rPh>
    <rPh sb="4" eb="5">
      <t>ヒ</t>
    </rPh>
    <rPh sb="6" eb="8">
      <t>ウンパン</t>
    </rPh>
    <rPh sb="8" eb="9">
      <t>コ</t>
    </rPh>
    <phoneticPr fontId="2"/>
  </si>
  <si>
    <t>手入力</t>
    <rPh sb="0" eb="1">
      <t>テ</t>
    </rPh>
    <rPh sb="1" eb="3">
      <t>ニュウリョク</t>
    </rPh>
    <phoneticPr fontId="2"/>
  </si>
  <si>
    <t>Y=Σ（工種別建設費×年価係数）
×(1－国庫補助率)</t>
    <rPh sb="4" eb="7">
      <t>コウシュベツ</t>
    </rPh>
    <rPh sb="7" eb="10">
      <t>ケンセツヒ</t>
    </rPh>
    <rPh sb="11" eb="12">
      <t>ネン</t>
    </rPh>
    <rPh sb="12" eb="13">
      <t>カ</t>
    </rPh>
    <rPh sb="13" eb="15">
      <t>ケイスウ</t>
    </rPh>
    <rPh sb="21" eb="23">
      <t>コッコ</t>
    </rPh>
    <rPh sb="23" eb="25">
      <t>ホジョ</t>
    </rPh>
    <rPh sb="25" eb="26">
      <t>リツ</t>
    </rPh>
    <phoneticPr fontId="2"/>
  </si>
  <si>
    <t>費用関数入力値</t>
    <rPh sb="0" eb="2">
      <t>ヒヨウ</t>
    </rPh>
    <rPh sb="2" eb="4">
      <t>カンスウ</t>
    </rPh>
    <rPh sb="4" eb="7">
      <t>ニュウリョクチ</t>
    </rPh>
    <phoneticPr fontId="2"/>
  </si>
  <si>
    <t>国庫補助率 :消化設備</t>
    <rPh sb="0" eb="2">
      <t>コッコ</t>
    </rPh>
    <rPh sb="2" eb="4">
      <t>ホジョ</t>
    </rPh>
    <rPh sb="4" eb="5">
      <t>リツ</t>
    </rPh>
    <rPh sb="7" eb="9">
      <t>ショウカ</t>
    </rPh>
    <rPh sb="9" eb="11">
      <t>セツビ</t>
    </rPh>
    <phoneticPr fontId="2"/>
  </si>
  <si>
    <t>国庫補助率 :食品廃棄物受入設備</t>
    <rPh sb="0" eb="2">
      <t>コッコ</t>
    </rPh>
    <rPh sb="2" eb="4">
      <t>ホジョ</t>
    </rPh>
    <rPh sb="4" eb="5">
      <t>リツ</t>
    </rPh>
    <rPh sb="7" eb="9">
      <t>ショクヒン</t>
    </rPh>
    <rPh sb="9" eb="12">
      <t>ハイキブツ</t>
    </rPh>
    <rPh sb="12" eb="14">
      <t>ウケイレ</t>
    </rPh>
    <rPh sb="14" eb="16">
      <t>セツビ</t>
    </rPh>
    <phoneticPr fontId="2"/>
  </si>
  <si>
    <t>国庫補助率 :発電設備</t>
    <rPh sb="0" eb="2">
      <t>コッコ</t>
    </rPh>
    <rPh sb="2" eb="4">
      <t>ホジョ</t>
    </rPh>
    <rPh sb="4" eb="5">
      <t>リツ</t>
    </rPh>
    <rPh sb="7" eb="9">
      <t>ハツデン</t>
    </rPh>
    <rPh sb="9" eb="11">
      <t>セツビ</t>
    </rPh>
    <phoneticPr fontId="2"/>
  </si>
  <si>
    <t>地域バイオマス(食品廃棄物)処分費</t>
    <rPh sb="0" eb="2">
      <t>チイキ</t>
    </rPh>
    <rPh sb="8" eb="10">
      <t>ショクヒン</t>
    </rPh>
    <rPh sb="10" eb="13">
      <t>ハイキブツ</t>
    </rPh>
    <rPh sb="14" eb="16">
      <t>ショブン</t>
    </rPh>
    <rPh sb="16" eb="17">
      <t>ヒ</t>
    </rPh>
    <phoneticPr fontId="2"/>
  </si>
  <si>
    <t>排出汚泥処分費</t>
    <rPh sb="0" eb="2">
      <t>ハイシュツ</t>
    </rPh>
    <rPh sb="2" eb="4">
      <t>オデイ</t>
    </rPh>
    <rPh sb="4" eb="6">
      <t>ショブン</t>
    </rPh>
    <rPh sb="6" eb="7">
      <t>ヒ</t>
    </rPh>
    <phoneticPr fontId="2"/>
  </si>
  <si>
    <t>（年間排出量）×（処分単価）</t>
    <rPh sb="1" eb="3">
      <t>ネンカン</t>
    </rPh>
    <rPh sb="3" eb="5">
      <t>ハイシュツ</t>
    </rPh>
    <rPh sb="5" eb="6">
      <t>リョウ</t>
    </rPh>
    <rPh sb="9" eb="11">
      <t>ショブン</t>
    </rPh>
    <rPh sb="11" eb="13">
      <t>タンカ</t>
    </rPh>
    <phoneticPr fontId="2"/>
  </si>
  <si>
    <t>発電機稼働率</t>
    <rPh sb="0" eb="3">
      <t>ハツデンキ</t>
    </rPh>
    <rPh sb="3" eb="5">
      <t>カドウ</t>
    </rPh>
    <rPh sb="5" eb="6">
      <t>リツ</t>
    </rPh>
    <phoneticPr fontId="2"/>
  </si>
  <si>
    <t>食品廃棄物処分単価(運搬込)</t>
    <rPh sb="0" eb="2">
      <t>ショクヒン</t>
    </rPh>
    <rPh sb="2" eb="5">
      <t>ハイキブツ</t>
    </rPh>
    <rPh sb="5" eb="7">
      <t>ショブン</t>
    </rPh>
    <rPh sb="7" eb="9">
      <t>タンカ</t>
    </rPh>
    <rPh sb="10" eb="12">
      <t>ウンパン</t>
    </rPh>
    <rPh sb="12" eb="13">
      <t>コ</t>
    </rPh>
    <phoneticPr fontId="2"/>
  </si>
  <si>
    <t>土木建築建設費</t>
    <rPh sb="0" eb="2">
      <t>ドボク</t>
    </rPh>
    <rPh sb="2" eb="4">
      <t>ケンチク</t>
    </rPh>
    <rPh sb="4" eb="7">
      <t>ケンセツヒ</t>
    </rPh>
    <phoneticPr fontId="2"/>
  </si>
  <si>
    <t>機械・電気建設費</t>
    <rPh sb="0" eb="2">
      <t>キカイ</t>
    </rPh>
    <rPh sb="3" eb="5">
      <t>デンキ</t>
    </rPh>
    <rPh sb="5" eb="8">
      <t>ケンセツヒ</t>
    </rPh>
    <phoneticPr fontId="2"/>
  </si>
  <si>
    <t>処分費</t>
    <rPh sb="0" eb="2">
      <t>ショブン</t>
    </rPh>
    <rPh sb="2" eb="3">
      <t>ヒ</t>
    </rPh>
    <phoneticPr fontId="2"/>
  </si>
  <si>
    <t>発電便益</t>
    <rPh sb="0" eb="2">
      <t>ハツデン</t>
    </rPh>
    <rPh sb="2" eb="4">
      <t>ベンエキ</t>
    </rPh>
    <phoneticPr fontId="2"/>
  </si>
  <si>
    <t>発電便益</t>
    <rPh sb="0" eb="2">
      <t>ハツデン</t>
    </rPh>
    <rPh sb="2" eb="4">
      <t>ベンエキ</t>
    </rPh>
    <phoneticPr fontId="2"/>
  </si>
  <si>
    <t>―　（年間発電量）×（電力単価）</t>
    <rPh sb="3" eb="5">
      <t>ネンカン</t>
    </rPh>
    <rPh sb="5" eb="7">
      <t>ハツデン</t>
    </rPh>
    <rPh sb="7" eb="8">
      <t>リョウ</t>
    </rPh>
    <rPh sb="11" eb="13">
      <t>デンリョク</t>
    </rPh>
    <rPh sb="13" eb="15">
      <t>タンカ</t>
    </rPh>
    <phoneticPr fontId="2"/>
  </si>
  <si>
    <t>―</t>
    <phoneticPr fontId="2"/>
  </si>
  <si>
    <t>消化ガス発電設備</t>
    <rPh sb="0" eb="2">
      <t>ショウカ</t>
    </rPh>
    <rPh sb="4" eb="6">
      <t>ハツデン</t>
    </rPh>
    <rPh sb="6" eb="8">
      <t>セツビ</t>
    </rPh>
    <phoneticPr fontId="2"/>
  </si>
  <si>
    <t>高効率加温設備</t>
    <rPh sb="0" eb="3">
      <t>コウコウリツ</t>
    </rPh>
    <rPh sb="3" eb="5">
      <t>カオン</t>
    </rPh>
    <rPh sb="5" eb="7">
      <t>セツビ</t>
    </rPh>
    <phoneticPr fontId="2"/>
  </si>
  <si>
    <t>地域バイオマス
受入設備
（食品廃棄物）</t>
    <rPh sb="0" eb="2">
      <t>チイキ</t>
    </rPh>
    <rPh sb="8" eb="10">
      <t>ウケイレ</t>
    </rPh>
    <rPh sb="10" eb="12">
      <t>セツビ</t>
    </rPh>
    <rPh sb="14" eb="16">
      <t>ショクヒン</t>
    </rPh>
    <rPh sb="16" eb="19">
      <t>ハイキブツ</t>
    </rPh>
    <phoneticPr fontId="2"/>
  </si>
  <si>
    <t>千円</t>
    <rPh sb="0" eb="1">
      <t>セン</t>
    </rPh>
    <rPh sb="1" eb="2">
      <t>エン</t>
    </rPh>
    <phoneticPr fontId="2"/>
  </si>
  <si>
    <t>千円/年</t>
    <rPh sb="0" eb="1">
      <t>セン</t>
    </rPh>
    <rPh sb="1" eb="2">
      <t>エン</t>
    </rPh>
    <rPh sb="3" eb="4">
      <t>ネン</t>
    </rPh>
    <phoneticPr fontId="2"/>
  </si>
  <si>
    <t>Y =  57.9×E</t>
    <phoneticPr fontId="2"/>
  </si>
  <si>
    <t>Y　＝　1.3132×E</t>
    <phoneticPr fontId="2"/>
  </si>
  <si>
    <t>　Y　＝ 0.0263×E + 5.8284</t>
    <phoneticPr fontId="2"/>
  </si>
  <si>
    <t>地域バイオマス(外部受入汚泥)処分費</t>
    <rPh sb="0" eb="2">
      <t>チイキ</t>
    </rPh>
    <rPh sb="8" eb="10">
      <t>ガイブ</t>
    </rPh>
    <rPh sb="10" eb="12">
      <t>ウケイレ</t>
    </rPh>
    <rPh sb="12" eb="14">
      <t>オデイ</t>
    </rPh>
    <rPh sb="15" eb="17">
      <t>ショブン</t>
    </rPh>
    <rPh sb="17" eb="18">
      <t>ヒ</t>
    </rPh>
    <phoneticPr fontId="2"/>
  </si>
  <si>
    <t>t-wet/年</t>
    <rPh sb="6" eb="7">
      <t>ネン</t>
    </rPh>
    <phoneticPr fontId="2"/>
  </si>
  <si>
    <t>kWh/年</t>
    <rPh sb="4" eb="5">
      <t>ネン</t>
    </rPh>
    <phoneticPr fontId="2"/>
  </si>
  <si>
    <t>―</t>
    <phoneticPr fontId="2"/>
  </si>
  <si>
    <t>kW</t>
    <phoneticPr fontId="2"/>
  </si>
  <si>
    <t>⑤、E：発電機総出力</t>
    <rPh sb="4" eb="7">
      <t>ハツデンキ</t>
    </rPh>
    <rPh sb="7" eb="10">
      <t>ソウシュツリョク</t>
    </rPh>
    <phoneticPr fontId="2"/>
  </si>
  <si>
    <t>⑦</t>
    <phoneticPr fontId="2"/>
  </si>
  <si>
    <t>①、工種別に年価を算出し、合計する。</t>
    <rPh sb="9" eb="11">
      <t>サンシュツ</t>
    </rPh>
    <phoneticPr fontId="2"/>
  </si>
  <si>
    <t>Y=系列数×0.006Q1＋33.333</t>
    <phoneticPr fontId="2"/>
  </si>
  <si>
    <t>消化槽設備
（無動力攪拌式消化槽（RC製））</t>
    <rPh sb="0" eb="2">
      <t>ショウカ</t>
    </rPh>
    <rPh sb="2" eb="3">
      <t>ソウ</t>
    </rPh>
    <rPh sb="3" eb="5">
      <t>セツビ</t>
    </rPh>
    <rPh sb="7" eb="8">
      <t>ム</t>
    </rPh>
    <rPh sb="8" eb="10">
      <t>ドウリョク</t>
    </rPh>
    <rPh sb="10" eb="12">
      <t>カクハン</t>
    </rPh>
    <rPh sb="12" eb="13">
      <t>シキ</t>
    </rPh>
    <rPh sb="13" eb="15">
      <t>ショウカ</t>
    </rPh>
    <rPh sb="15" eb="16">
      <t>ソウ</t>
    </rPh>
    <rPh sb="19" eb="20">
      <t>セイ</t>
    </rPh>
    <phoneticPr fontId="2"/>
  </si>
  <si>
    <t>系列（手入力）</t>
    <rPh sb="0" eb="2">
      <t>ケイレツ</t>
    </rPh>
    <rPh sb="3" eb="4">
      <t>テ</t>
    </rPh>
    <rPh sb="4" eb="6">
      <t>ニュウリョク</t>
    </rPh>
    <phoneticPr fontId="2"/>
  </si>
  <si>
    <t>従来技術　消化設備建設デフレーター(H16基準)</t>
    <rPh sb="0" eb="2">
      <t>ジュウライ</t>
    </rPh>
    <rPh sb="2" eb="4">
      <t>ギジュツ</t>
    </rPh>
    <rPh sb="5" eb="7">
      <t>ショウカ</t>
    </rPh>
    <rPh sb="7" eb="9">
      <t>セツビ</t>
    </rPh>
    <rPh sb="9" eb="11">
      <t>ケンセツ</t>
    </rPh>
    <rPh sb="21" eb="23">
      <t>キジュン</t>
    </rPh>
    <phoneticPr fontId="2"/>
  </si>
  <si>
    <t>マテバラから計算値</t>
    <rPh sb="6" eb="9">
      <t>ケイサンチ</t>
    </rPh>
    <phoneticPr fontId="2"/>
  </si>
  <si>
    <t>―</t>
  </si>
  <si>
    <t>Y =  39Qy0.596</t>
    <phoneticPr fontId="2"/>
  </si>
  <si>
    <r>
      <t>Y=134.89（系列数×Q1）</t>
    </r>
    <r>
      <rPr>
        <vertAlign val="superscript"/>
        <sz val="11"/>
        <color theme="1"/>
        <rFont val="ＭＳ Ｐゴシック"/>
        <family val="3"/>
        <charset val="128"/>
        <scheme val="minor"/>
      </rPr>
      <t>0.4095</t>
    </r>
    <rPh sb="9" eb="11">
      <t>ケイレツ</t>
    </rPh>
    <rPh sb="11" eb="12">
      <t>スウ</t>
    </rPh>
    <phoneticPr fontId="2"/>
  </si>
  <si>
    <r>
      <t>Q1：(１槽あたり)消化槽容量m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Ph sb="5" eb="6">
      <t>ソウ</t>
    </rPh>
    <rPh sb="10" eb="12">
      <t>ショウカ</t>
    </rPh>
    <rPh sb="12" eb="13">
      <t>ソウ</t>
    </rPh>
    <rPh sb="13" eb="15">
      <t>ヨウリョウ</t>
    </rPh>
    <phoneticPr fontId="2"/>
  </si>
  <si>
    <t>Nm3/ 日</t>
    <phoneticPr fontId="2"/>
  </si>
  <si>
    <t>Y=系列数×(0.1388Qd/系列数＋262)</t>
    <phoneticPr fontId="2"/>
  </si>
  <si>
    <t>Y=0. 0452Qｄ×＋46.4</t>
    <phoneticPr fontId="2"/>
  </si>
  <si>
    <t>E：発電機総出力</t>
    <phoneticPr fontId="2"/>
  </si>
  <si>
    <t>（中温消化含水率）</t>
    <rPh sb="1" eb="3">
      <t>チュウオン</t>
    </rPh>
    <rPh sb="3" eb="5">
      <t>ショウカ</t>
    </rPh>
    <rPh sb="5" eb="7">
      <t>ガンスイ</t>
    </rPh>
    <rPh sb="7" eb="8">
      <t>リツ</t>
    </rPh>
    <phoneticPr fontId="2"/>
  </si>
  <si>
    <t>t-ds/日</t>
    <rPh sb="5" eb="6">
      <t>ニチ</t>
    </rPh>
    <phoneticPr fontId="2"/>
  </si>
  <si>
    <t>Qd2：計画投入地域バイオマスt-ds/日</t>
    <rPh sb="8" eb="10">
      <t>チイキ</t>
    </rPh>
    <phoneticPr fontId="2"/>
  </si>
  <si>
    <t>マテバラからの計算値以上の値を記入</t>
    <rPh sb="7" eb="10">
      <t>ケイサンチ</t>
    </rPh>
    <rPh sb="10" eb="12">
      <t>イジョウ</t>
    </rPh>
    <rPh sb="13" eb="14">
      <t>アタイ</t>
    </rPh>
    <rPh sb="15" eb="17">
      <t>キニュウ</t>
    </rPh>
    <phoneticPr fontId="2"/>
  </si>
  <si>
    <t>費用（千円）</t>
    <rPh sb="0" eb="2">
      <t>ヒヨウ</t>
    </rPh>
    <rPh sb="3" eb="4">
      <t>セン</t>
    </rPh>
    <rPh sb="4" eb="5">
      <t>エン</t>
    </rPh>
    <phoneticPr fontId="2"/>
  </si>
  <si>
    <t>百万円</t>
    <rPh sb="0" eb="2">
      <t>ヒャクマン</t>
    </rPh>
    <rPh sb="2" eb="3">
      <t>エン</t>
    </rPh>
    <phoneticPr fontId="2"/>
  </si>
  <si>
    <t>消化ガス（日平均）</t>
    <rPh sb="0" eb="2">
      <t>ショウカ</t>
    </rPh>
    <phoneticPr fontId="2"/>
  </si>
  <si>
    <r>
      <t>発生量 ( 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</si>
  <si>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r>
      <t>加温    ( 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</si>
  <si>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r>
      <t>発電    ( 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</si>
  <si>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t>加温（ボイラ）　（日平均）　</t>
    <rPh sb="0" eb="2">
      <t>カオン</t>
    </rPh>
    <phoneticPr fontId="2"/>
  </si>
  <si>
    <t>　　　　　発電　　(ガスエンジン)　　　　（日平均）　　</t>
    <phoneticPr fontId="2"/>
  </si>
  <si>
    <t>必要熱量(MJ/日)</t>
    <rPh sb="0" eb="2">
      <t>ヒツヨウ</t>
    </rPh>
    <rPh sb="2" eb="4">
      <t>ネツリョウ</t>
    </rPh>
    <rPh sb="8" eb="9">
      <t>ニチ</t>
    </rPh>
    <phoneticPr fontId="2"/>
  </si>
  <si>
    <t>ボイラ効率(%)</t>
    <rPh sb="3" eb="5">
      <t>コウリツ</t>
    </rPh>
    <phoneticPr fontId="2"/>
  </si>
  <si>
    <t>混合濃縮汚泥（日平均）</t>
    <phoneticPr fontId="2"/>
  </si>
  <si>
    <r>
      <t>投入汚泥量(m</t>
    </r>
    <r>
      <rPr>
        <vertAlign val="superscript"/>
        <sz val="10"/>
        <color rgb="FF000000"/>
        <rFont val="Meiryo UI"/>
        <family val="3"/>
        <charset val="128"/>
      </rPr>
      <t>3</t>
    </r>
    <r>
      <rPr>
        <sz val="10"/>
        <color rgb="FF000000"/>
        <rFont val="Meiryo UI"/>
        <family val="3"/>
        <charset val="128"/>
      </rPr>
      <t>/日)</t>
    </r>
    <phoneticPr fontId="2"/>
  </si>
  <si>
    <t>消化汚泥（日平均）</t>
    <phoneticPr fontId="2"/>
  </si>
  <si>
    <t>脱水汚泥(排出)　(日平均)</t>
    <phoneticPr fontId="2"/>
  </si>
  <si>
    <t>固形物量   (t/日 )</t>
    <phoneticPr fontId="2"/>
  </si>
  <si>
    <t>汚泥濃度  (%)</t>
    <phoneticPr fontId="2"/>
  </si>
  <si>
    <t>VTS         (%)</t>
    <phoneticPr fontId="2"/>
  </si>
  <si>
    <t>固形物量 ( t/日)</t>
    <phoneticPr fontId="2"/>
  </si>
  <si>
    <t>固形物量(t/日)</t>
    <phoneticPr fontId="2"/>
  </si>
  <si>
    <t>汚泥濃度(%)</t>
    <phoneticPr fontId="2"/>
  </si>
  <si>
    <t>　</t>
    <phoneticPr fontId="2"/>
  </si>
  <si>
    <t>含水率 (%)</t>
    <phoneticPr fontId="2"/>
  </si>
  <si>
    <t>VTS      (%)</t>
    <phoneticPr fontId="2"/>
  </si>
  <si>
    <t>中温消化：</t>
    <rPh sb="0" eb="2">
      <t>チュウオン</t>
    </rPh>
    <rPh sb="2" eb="4">
      <t>ショウカ</t>
    </rPh>
    <phoneticPr fontId="2"/>
  </si>
  <si>
    <t>2018.12</t>
    <phoneticPr fontId="2"/>
  </si>
  <si>
    <t>CASE　3-3</t>
    <phoneticPr fontId="30"/>
  </si>
  <si>
    <t>（日平均３万ｔ）</t>
    <rPh sb="1" eb="2">
      <t>ニチ</t>
    </rPh>
    <rPh sb="2" eb="4">
      <t>ヘイキン</t>
    </rPh>
    <rPh sb="5" eb="6">
      <t>マン</t>
    </rPh>
    <phoneticPr fontId="30"/>
  </si>
  <si>
    <t>Q2</t>
    <phoneticPr fontId="29"/>
  </si>
  <si>
    <t>DS2</t>
    <phoneticPr fontId="29"/>
  </si>
  <si>
    <t>.</t>
    <phoneticPr fontId="2"/>
  </si>
  <si>
    <t>%</t>
    <phoneticPr fontId="29"/>
  </si>
  <si>
    <t>VTS1%</t>
    <phoneticPr fontId="29"/>
  </si>
  <si>
    <t>%</t>
    <phoneticPr fontId="29"/>
  </si>
  <si>
    <t>Q3</t>
    <phoneticPr fontId="29"/>
  </si>
  <si>
    <t>DS3</t>
    <phoneticPr fontId="29"/>
  </si>
  <si>
    <t>DS3%</t>
    <phoneticPr fontId="29"/>
  </si>
  <si>
    <t>%</t>
    <phoneticPr fontId="29"/>
  </si>
  <si>
    <t>VTS3%</t>
    <phoneticPr fontId="29"/>
  </si>
  <si>
    <t>%　</t>
    <phoneticPr fontId="29"/>
  </si>
  <si>
    <t>　消化タンク投入汚泥</t>
    <phoneticPr fontId="29"/>
  </si>
  <si>
    <t>Q11</t>
    <phoneticPr fontId="29"/>
  </si>
  <si>
    <t>DS11</t>
    <phoneticPr fontId="29"/>
  </si>
  <si>
    <t>DS11%</t>
    <phoneticPr fontId="29"/>
  </si>
  <si>
    <t>VTS11%</t>
    <phoneticPr fontId="29"/>
  </si>
  <si>
    <t>%　</t>
    <phoneticPr fontId="29"/>
  </si>
  <si>
    <t>温度（冬）</t>
    <rPh sb="0" eb="2">
      <t>オンド</t>
    </rPh>
    <rPh sb="3" eb="4">
      <t>フユ</t>
    </rPh>
    <phoneticPr fontId="29"/>
  </si>
  <si>
    <t>消　化　槽　（既設）</t>
    <rPh sb="7" eb="9">
      <t>キセツ</t>
    </rPh>
    <phoneticPr fontId="29"/>
  </si>
  <si>
    <t>　</t>
    <phoneticPr fontId="29"/>
  </si>
  <si>
    <t>m3</t>
    <phoneticPr fontId="29"/>
  </si>
  <si>
    <t>×</t>
    <phoneticPr fontId="29"/>
  </si>
  <si>
    <t>槽</t>
    <rPh sb="0" eb="1">
      <t>ソウ</t>
    </rPh>
    <phoneticPr fontId="29"/>
  </si>
  <si>
    <t>℃</t>
    <phoneticPr fontId="29"/>
  </si>
  <si>
    <t>）</t>
    <phoneticPr fontId="29"/>
  </si>
  <si>
    <t>発電</t>
    <rPh sb="0" eb="2">
      <t>ハツデン</t>
    </rPh>
    <phoneticPr fontId="29"/>
  </si>
  <si>
    <t>（消化日数</t>
    <rPh sb="3" eb="5">
      <t>ニッスウ</t>
    </rPh>
    <phoneticPr fontId="29"/>
  </si>
  <si>
    <t>日</t>
    <rPh sb="0" eb="1">
      <t>ニチ</t>
    </rPh>
    <phoneticPr fontId="29"/>
  </si>
  <si>
    <t>）</t>
    <phoneticPr fontId="29"/>
  </si>
  <si>
    <t>Q32</t>
    <phoneticPr fontId="29"/>
  </si>
  <si>
    <t>kW</t>
    <phoneticPr fontId="29"/>
  </si>
  <si>
    <t>　（混合汚泥消化率　</t>
    <phoneticPr fontId="29"/>
  </si>
  <si>
    <t>発生率</t>
    <rPh sb="0" eb="2">
      <t>ハッセイ</t>
    </rPh>
    <rPh sb="2" eb="3">
      <t>リツ</t>
    </rPh>
    <phoneticPr fontId="29"/>
  </si>
  <si>
    <t>m3/kｇ-VS</t>
    <phoneticPr fontId="29"/>
  </si>
  <si>
    <t>加温</t>
    <phoneticPr fontId="29"/>
  </si>
  <si>
    <t>ｑ</t>
    <phoneticPr fontId="29"/>
  </si>
  <si>
    <t>MJ/Nｍ3</t>
    <phoneticPr fontId="29"/>
  </si>
  <si>
    <t>加温</t>
    <rPh sb="0" eb="2">
      <t>カオン</t>
    </rPh>
    <phoneticPr fontId="29"/>
  </si>
  <si>
    <t>Q33</t>
    <phoneticPr fontId="29"/>
  </si>
  <si>
    <t>必要熱量q</t>
    <rPh sb="0" eb="2">
      <t>ヒツヨウ</t>
    </rPh>
    <rPh sb="2" eb="4">
      <t>ネツリョウ</t>
    </rPh>
    <phoneticPr fontId="29"/>
  </si>
  <si>
    <t>Q12</t>
    <phoneticPr fontId="29"/>
  </si>
  <si>
    <t>DS12</t>
    <phoneticPr fontId="29"/>
  </si>
  <si>
    <t>=</t>
    <phoneticPr fontId="29"/>
  </si>
  <si>
    <t>DS12%</t>
    <phoneticPr fontId="29"/>
  </si>
  <si>
    <t>%</t>
    <phoneticPr fontId="29"/>
  </si>
  <si>
    <t>VTS12%</t>
    <phoneticPr fontId="29"/>
  </si>
  <si>
    <t>間接加温（発電排熱による） q2</t>
    <rPh sb="0" eb="2">
      <t>カンセツ</t>
    </rPh>
    <rPh sb="2" eb="4">
      <t>カオン</t>
    </rPh>
    <rPh sb="5" eb="7">
      <t>ハツデン</t>
    </rPh>
    <rPh sb="7" eb="9">
      <t>ハイネツ</t>
    </rPh>
    <rPh sb="13" eb="14">
      <t>ネツリョウ</t>
    </rPh>
    <phoneticPr fontId="29"/>
  </si>
  <si>
    <t>q</t>
    <phoneticPr fontId="29"/>
  </si>
  <si>
    <t>q2</t>
    <phoneticPr fontId="29"/>
  </si>
  <si>
    <t>=</t>
    <phoneticPr fontId="29"/>
  </si>
  <si>
    <t>ポリマー</t>
    <phoneticPr fontId="29"/>
  </si>
  <si>
    <t>Q14</t>
    <phoneticPr fontId="29"/>
  </si>
  <si>
    <t>（</t>
    <phoneticPr fontId="29"/>
  </si>
  <si>
    <t>）</t>
    <phoneticPr fontId="29"/>
  </si>
  <si>
    <t>）</t>
    <phoneticPr fontId="29"/>
  </si>
  <si>
    <t>DS14</t>
    <phoneticPr fontId="29"/>
  </si>
  <si>
    <t>Q21</t>
    <phoneticPr fontId="29"/>
  </si>
  <si>
    <t>DS21</t>
    <phoneticPr fontId="29"/>
  </si>
  <si>
    <t>Q13</t>
    <phoneticPr fontId="29"/>
  </si>
  <si>
    <t>DS13</t>
    <phoneticPr fontId="29"/>
  </si>
  <si>
    <t>DS13%</t>
    <phoneticPr fontId="29"/>
  </si>
  <si>
    <t>%</t>
    <phoneticPr fontId="29"/>
  </si>
  <si>
    <t>VTS13%</t>
    <phoneticPr fontId="29"/>
  </si>
  <si>
    <t>焼却</t>
    <rPh sb="0" eb="2">
      <t>ショウキャク</t>
    </rPh>
    <phoneticPr fontId="29"/>
  </si>
  <si>
    <t>焼却灰（加湿灰）</t>
    <rPh sb="0" eb="2">
      <t>ショウキャク</t>
    </rPh>
    <rPh sb="2" eb="3">
      <t>ハイ</t>
    </rPh>
    <rPh sb="4" eb="6">
      <t>カシツ</t>
    </rPh>
    <rPh sb="6" eb="7">
      <t>ハイ</t>
    </rPh>
    <phoneticPr fontId="29"/>
  </si>
  <si>
    <t>Q20</t>
    <phoneticPr fontId="29"/>
  </si>
  <si>
    <t>DS20%</t>
    <phoneticPr fontId="29"/>
  </si>
  <si>
    <t>DS20%</t>
    <phoneticPr fontId="29"/>
  </si>
  <si>
    <t>加温　（日平均）　</t>
    <rPh sb="0" eb="2">
      <t>カオン</t>
    </rPh>
    <phoneticPr fontId="2"/>
  </si>
  <si>
    <t>　発電機排熱回収</t>
    <rPh sb="1" eb="3">
      <t>ハツデン</t>
    </rPh>
    <rPh sb="3" eb="4">
      <t>キ</t>
    </rPh>
    <rPh sb="4" eb="6">
      <t>ハイネツ</t>
    </rPh>
    <rPh sb="6" eb="8">
      <t>カイシュウ</t>
    </rPh>
    <phoneticPr fontId="2"/>
  </si>
  <si>
    <t>供給熱量(MJ/日)</t>
    <rPh sb="0" eb="2">
      <t>キョウキュウ</t>
    </rPh>
    <rPh sb="2" eb="4">
      <t>ネツリョウ</t>
    </rPh>
    <rPh sb="8" eb="9">
      <t>ニチ</t>
    </rPh>
    <phoneticPr fontId="2"/>
  </si>
  <si>
    <t>排熱回収 (％)</t>
    <rPh sb="0" eb="2">
      <t>ハイネツ</t>
    </rPh>
    <rPh sb="2" eb="4">
      <t>カイシュウ</t>
    </rPh>
    <phoneticPr fontId="2"/>
  </si>
  <si>
    <t>65~70</t>
    <phoneticPr fontId="2"/>
  </si>
  <si>
    <t>回収熱量  (MJ/日)</t>
    <rPh sb="0" eb="2">
      <t>カイシュウ</t>
    </rPh>
    <rPh sb="2" eb="4">
      <t>ネツリョウ</t>
    </rPh>
    <phoneticPr fontId="2"/>
  </si>
  <si>
    <t>混合濃縮汚泥（日平均）</t>
    <phoneticPr fontId="2"/>
  </si>
  <si>
    <t>消化汚泥（日平均）</t>
    <phoneticPr fontId="2"/>
  </si>
  <si>
    <t>　</t>
    <phoneticPr fontId="2"/>
  </si>
  <si>
    <t>機械・電気設備</t>
    <rPh sb="0" eb="2">
      <t>キカイ</t>
    </rPh>
    <rPh sb="3" eb="5">
      <t>デンキ</t>
    </rPh>
    <rPh sb="5" eb="7">
      <t>セツビ</t>
    </rPh>
    <phoneticPr fontId="2"/>
  </si>
  <si>
    <t>食品廃棄物運搬単価</t>
    <rPh sb="0" eb="2">
      <t>ショクヒン</t>
    </rPh>
    <rPh sb="2" eb="5">
      <t>ハイキブツ</t>
    </rPh>
    <rPh sb="5" eb="7">
      <t>ウンパン</t>
    </rPh>
    <rPh sb="7" eb="9">
      <t>タンカ</t>
    </rPh>
    <phoneticPr fontId="2"/>
  </si>
  <si>
    <t>脱水汚泥運搬単価</t>
    <rPh sb="0" eb="2">
      <t>ダッスイ</t>
    </rPh>
    <rPh sb="2" eb="4">
      <t>オデイ</t>
    </rPh>
    <rPh sb="4" eb="6">
      <t>ウンパン</t>
    </rPh>
    <rPh sb="6" eb="8">
      <t>タンカ</t>
    </rPh>
    <phoneticPr fontId="2"/>
  </si>
  <si>
    <t>⑥'</t>
    <phoneticPr fontId="2"/>
  </si>
  <si>
    <t>⑦'</t>
    <phoneticPr fontId="2"/>
  </si>
  <si>
    <t>⑧'</t>
    <phoneticPr fontId="2"/>
  </si>
  <si>
    <t>脱水設備
（維持管理費増分）</t>
    <rPh sb="0" eb="2">
      <t>ダッスイ</t>
    </rPh>
    <rPh sb="2" eb="4">
      <t>セツビ</t>
    </rPh>
    <rPh sb="6" eb="8">
      <t>イジ</t>
    </rPh>
    <rPh sb="8" eb="11">
      <t>カンリヒ</t>
    </rPh>
    <rPh sb="11" eb="13">
      <t>ゾウブン</t>
    </rPh>
    <phoneticPr fontId="2"/>
  </si>
  <si>
    <t>維持管理費(革新的技術)
(電力、燃料、薬品費、補修費、人件費)</t>
    <rPh sb="0" eb="2">
      <t>イジ</t>
    </rPh>
    <rPh sb="2" eb="5">
      <t>カンリヒ</t>
    </rPh>
    <rPh sb="6" eb="8">
      <t>カクシン</t>
    </rPh>
    <rPh sb="8" eb="9">
      <t>テキ</t>
    </rPh>
    <rPh sb="9" eb="11">
      <t>ギジュツ</t>
    </rPh>
    <rPh sb="14" eb="16">
      <t>デンリョク</t>
    </rPh>
    <rPh sb="17" eb="19">
      <t>ネンリョウ</t>
    </rPh>
    <rPh sb="20" eb="22">
      <t>ヤクヒン</t>
    </rPh>
    <rPh sb="22" eb="23">
      <t>ヒ</t>
    </rPh>
    <rPh sb="24" eb="27">
      <t>ホシュウヒ</t>
    </rPh>
    <rPh sb="28" eb="31">
      <t>ジンケンヒ</t>
    </rPh>
    <phoneticPr fontId="2"/>
  </si>
  <si>
    <t xml:space="preserve">従来技術
（中温消化）
</t>
    <rPh sb="0" eb="2">
      <t>ジュウライ</t>
    </rPh>
    <rPh sb="2" eb="4">
      <t>ギジュツ</t>
    </rPh>
    <rPh sb="6" eb="8">
      <t>チュウオン</t>
    </rPh>
    <rPh sb="8" eb="10">
      <t>ショウカ</t>
    </rPh>
    <phoneticPr fontId="2"/>
  </si>
  <si>
    <t>　耐用年数(年)</t>
    <phoneticPr fontId="2"/>
  </si>
  <si>
    <t>維持管理費（従来技術(中温消化)）
(電力、燃料、薬品費、補修費、人件費)</t>
    <rPh sb="0" eb="2">
      <t>イジ</t>
    </rPh>
    <rPh sb="2" eb="5">
      <t>カンリヒ</t>
    </rPh>
    <rPh sb="6" eb="8">
      <t>ジュウライ</t>
    </rPh>
    <rPh sb="8" eb="10">
      <t>ギジュツ</t>
    </rPh>
    <rPh sb="11" eb="15">
      <t>チュウオンショウカ</t>
    </rPh>
    <rPh sb="19" eb="21">
      <t>デンリョク</t>
    </rPh>
    <rPh sb="22" eb="24">
      <t>ネンリョウ</t>
    </rPh>
    <rPh sb="25" eb="27">
      <t>ヤクヒン</t>
    </rPh>
    <rPh sb="27" eb="28">
      <t>ヒ</t>
    </rPh>
    <rPh sb="29" eb="32">
      <t>ホシュウヒ</t>
    </rPh>
    <rPh sb="33" eb="36">
      <t>ジンケンヒ</t>
    </rPh>
    <phoneticPr fontId="2"/>
  </si>
  <si>
    <t>維持管理費増分
(電力、燃料、薬品費、補修費、人件費)</t>
    <rPh sb="0" eb="2">
      <t>イジ</t>
    </rPh>
    <rPh sb="2" eb="5">
      <t>カンリヒ</t>
    </rPh>
    <rPh sb="5" eb="7">
      <t>ゾウブン</t>
    </rPh>
    <rPh sb="9" eb="11">
      <t>デンリョク</t>
    </rPh>
    <rPh sb="12" eb="14">
      <t>ネンリョウ</t>
    </rPh>
    <rPh sb="15" eb="17">
      <t>ヤクヒン</t>
    </rPh>
    <rPh sb="17" eb="18">
      <t>ヒ</t>
    </rPh>
    <rPh sb="19" eb="22">
      <t>ホシュウヒ</t>
    </rPh>
    <rPh sb="23" eb="26">
      <t>ジンケンヒ</t>
    </rPh>
    <phoneticPr fontId="2"/>
  </si>
  <si>
    <t>(ⅰ)</t>
    <phoneticPr fontId="2"/>
  </si>
  <si>
    <t>(ⅱ)</t>
    <phoneticPr fontId="2"/>
  </si>
  <si>
    <t xml:space="preserve">⑮、(ⅰ) ー(ⅱ) </t>
    <phoneticPr fontId="2"/>
  </si>
  <si>
    <t>③、工種別に年価を算出し、合計する。</t>
    <rPh sb="9" eb="11">
      <t>サンシュツ</t>
    </rPh>
    <phoneticPr fontId="2"/>
  </si>
  <si>
    <t>④、E：発電機総出力</t>
    <rPh sb="4" eb="7">
      <t>ハツデンキ</t>
    </rPh>
    <rPh sb="7" eb="10">
      <t>ソウシュツリョク</t>
    </rPh>
    <phoneticPr fontId="2"/>
  </si>
  <si>
    <t>a：Σ（①～⑧）</t>
    <phoneticPr fontId="2"/>
  </si>
  <si>
    <t>⑨、工種別に年価を算出し、合計する。</t>
    <rPh sb="9" eb="11">
      <t>サンシュツ</t>
    </rPh>
    <phoneticPr fontId="2"/>
  </si>
  <si>
    <r>
      <t>⑩、Q1：(１槽あたり)消化槽容量m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Ph sb="12" eb="14">
      <t>ショウカ</t>
    </rPh>
    <rPh sb="14" eb="15">
      <t>ソウ</t>
    </rPh>
    <rPh sb="15" eb="17">
      <t>ヨウリョウ</t>
    </rPh>
    <phoneticPr fontId="2"/>
  </si>
  <si>
    <t>⑪、工種別に年価を算出し、合計する。</t>
    <rPh sb="9" eb="11">
      <t>サンシュツ</t>
    </rPh>
    <phoneticPr fontId="2"/>
  </si>
  <si>
    <t>⑬、工種別に年価を算出し、合計する。</t>
    <rPh sb="9" eb="11">
      <t>サンシュツ</t>
    </rPh>
    <phoneticPr fontId="2"/>
  </si>
  <si>
    <t>⑯、工種別に年価を算出し、合計する。</t>
    <rPh sb="9" eb="11">
      <t>サンシュツ</t>
    </rPh>
    <phoneticPr fontId="2"/>
  </si>
  <si>
    <t>⑰、Q3：日平均投入地域バイオマスt-ds/日</t>
    <rPh sb="5" eb="6">
      <t>ニチ</t>
    </rPh>
    <rPh sb="6" eb="8">
      <t>ヘイキン</t>
    </rPh>
    <rPh sb="10" eb="12">
      <t>チイキ</t>
    </rPh>
    <phoneticPr fontId="2"/>
  </si>
  <si>
    <t>⑱、工種別に年価を算出し、合計する。</t>
    <rPh sb="9" eb="11">
      <t>サンシュツ</t>
    </rPh>
    <phoneticPr fontId="2"/>
  </si>
  <si>
    <t>⑲、Q3：日平均投入地域バイオマスt-ds/日</t>
    <rPh sb="5" eb="6">
      <t>ニチ</t>
    </rPh>
    <rPh sb="6" eb="8">
      <t>ヘイキン</t>
    </rPh>
    <rPh sb="10" eb="12">
      <t>チイキ</t>
    </rPh>
    <phoneticPr fontId="2"/>
  </si>
  <si>
    <t>③'、工種別に年価を算出し、合計する。</t>
    <rPh sb="10" eb="12">
      <t>サンシュツ</t>
    </rPh>
    <phoneticPr fontId="2"/>
  </si>
  <si>
    <t>④'、E：発電機総出力</t>
    <rPh sb="5" eb="8">
      <t>ハツデンキ</t>
    </rPh>
    <rPh sb="8" eb="11">
      <t>ソウシュツリョク</t>
    </rPh>
    <phoneticPr fontId="2"/>
  </si>
  <si>
    <t>⑤'</t>
    <phoneticPr fontId="2"/>
  </si>
  <si>
    <t>b：Σ(⑨～⑩、③’～⑧')</t>
    <phoneticPr fontId="2"/>
  </si>
  <si>
    <t>処分・運搬費</t>
    <rPh sb="0" eb="2">
      <t>ショブン</t>
    </rPh>
    <rPh sb="3" eb="5">
      <t>ウンパン</t>
    </rPh>
    <rPh sb="5" eb="6">
      <t>ヒ</t>
    </rPh>
    <phoneticPr fontId="2"/>
  </si>
  <si>
    <t>総費用(年価換算値)(革新的技術)</t>
    <rPh sb="0" eb="3">
      <t>ソウヒヨウ</t>
    </rPh>
    <rPh sb="4" eb="5">
      <t>トシ</t>
    </rPh>
    <rPh sb="5" eb="6">
      <t>アタイ</t>
    </rPh>
    <rPh sb="6" eb="8">
      <t>カンサン</t>
    </rPh>
    <rPh sb="8" eb="9">
      <t>アタイ</t>
    </rPh>
    <rPh sb="11" eb="14">
      <t>カクシンテキ</t>
    </rPh>
    <rPh sb="14" eb="16">
      <t>ギジュツ</t>
    </rPh>
    <phoneticPr fontId="2"/>
  </si>
  <si>
    <t>（消化無含水率）</t>
    <rPh sb="1" eb="3">
      <t>ショウカ</t>
    </rPh>
    <rPh sb="3" eb="4">
      <t>ナ</t>
    </rPh>
    <rPh sb="4" eb="6">
      <t>ガンスイ</t>
    </rPh>
    <rPh sb="6" eb="7">
      <t>リツ</t>
    </rPh>
    <phoneticPr fontId="2"/>
  </si>
  <si>
    <t>維持管理費(消化なし)
(電力、燃料、薬品費、補修費、人件費)</t>
    <rPh sb="0" eb="2">
      <t>イジ</t>
    </rPh>
    <rPh sb="2" eb="5">
      <t>カンリヒ</t>
    </rPh>
    <rPh sb="6" eb="8">
      <t>ショウカ</t>
    </rPh>
    <rPh sb="13" eb="15">
      <t>デンリョク</t>
    </rPh>
    <rPh sb="16" eb="18">
      <t>ネンリョウ</t>
    </rPh>
    <rPh sb="19" eb="21">
      <t>ヤクヒン</t>
    </rPh>
    <rPh sb="21" eb="22">
      <t>ヒ</t>
    </rPh>
    <rPh sb="23" eb="26">
      <t>ホシュウヒ</t>
    </rPh>
    <rPh sb="27" eb="30">
      <t>ジンケンヒ</t>
    </rPh>
    <phoneticPr fontId="2"/>
  </si>
  <si>
    <t>消化なし</t>
    <rPh sb="0" eb="2">
      <t>ショウカ</t>
    </rPh>
    <phoneticPr fontId="2"/>
  </si>
  <si>
    <t>(ⅰ)'</t>
    <phoneticPr fontId="2"/>
  </si>
  <si>
    <t>(ⅱ)'</t>
    <phoneticPr fontId="2"/>
  </si>
  <si>
    <t xml:space="preserve">⑳、(ⅰ)' ー(ⅱ)' </t>
    <phoneticPr fontId="2"/>
  </si>
  <si>
    <t>⑥"</t>
    <phoneticPr fontId="2"/>
  </si>
  <si>
    <t>⑦"</t>
    <phoneticPr fontId="2"/>
  </si>
  <si>
    <t>⑧"</t>
    <phoneticPr fontId="2"/>
  </si>
  <si>
    <t>c：Σ（⑳,⑥"～⑧"）</t>
    <phoneticPr fontId="2"/>
  </si>
  <si>
    <t>投入</t>
    <rPh sb="0" eb="2">
      <t>トウニュウ</t>
    </rPh>
    <phoneticPr fontId="50"/>
  </si>
  <si>
    <t>VS分解率</t>
    <rPh sb="2" eb="4">
      <t>ブンカイ</t>
    </rPh>
    <rPh sb="4" eb="5">
      <t>リツ</t>
    </rPh>
    <phoneticPr fontId="50"/>
  </si>
  <si>
    <t>分解VS量</t>
    <rPh sb="0" eb="2">
      <t>ブンカイ</t>
    </rPh>
    <rPh sb="4" eb="5">
      <t>リョウ</t>
    </rPh>
    <phoneticPr fontId="50"/>
  </si>
  <si>
    <t>TS</t>
    <phoneticPr fontId="29"/>
  </si>
  <si>
    <t>VS</t>
    <phoneticPr fontId="29"/>
  </si>
  <si>
    <t>(t/日)</t>
    <rPh sb="3" eb="4">
      <t>ニチ</t>
    </rPh>
    <phoneticPr fontId="50"/>
  </si>
  <si>
    <t>(％)</t>
    <phoneticPr fontId="50"/>
  </si>
  <si>
    <t>(％)</t>
    <phoneticPr fontId="50"/>
  </si>
  <si>
    <t>食品廃棄物</t>
    <rPh sb="0" eb="2">
      <t>ショクヒン</t>
    </rPh>
    <rPh sb="2" eb="5">
      <t>ハイキブツ</t>
    </rPh>
    <phoneticPr fontId="50"/>
  </si>
  <si>
    <t>OD脱水汚泥</t>
    <rPh sb="2" eb="4">
      <t>ダッスイ</t>
    </rPh>
    <rPh sb="4" eb="6">
      <t>オデイ</t>
    </rPh>
    <phoneticPr fontId="50"/>
  </si>
  <si>
    <t>消化汚泥可溶化由来</t>
    <rPh sb="0" eb="2">
      <t>ショウカ</t>
    </rPh>
    <rPh sb="2" eb="4">
      <t>オデイ</t>
    </rPh>
    <rPh sb="4" eb="7">
      <t>カヨウカ</t>
    </rPh>
    <rPh sb="7" eb="9">
      <t>ユライ</t>
    </rPh>
    <phoneticPr fontId="50"/>
  </si>
  <si>
    <r>
      <t>年価係数＝i×｛1＋i｝</t>
    </r>
    <r>
      <rPr>
        <vertAlign val="superscript"/>
        <sz val="11"/>
        <color theme="1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3"/>
        <charset val="128"/>
        <scheme val="minor"/>
      </rPr>
      <t>/｛（1＋i）</t>
    </r>
    <r>
      <rPr>
        <vertAlign val="superscript"/>
        <sz val="11"/>
        <color theme="1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3"/>
        <charset val="128"/>
        <scheme val="minor"/>
      </rPr>
      <t>－1｝</t>
    </r>
    <phoneticPr fontId="2"/>
  </si>
  <si>
    <r>
      <t>Y =  16.9 Qｄ</t>
    </r>
    <r>
      <rPr>
        <vertAlign val="superscript"/>
        <sz val="11"/>
        <color theme="1"/>
        <rFont val="ＭＳ Ｐゴシック"/>
        <family val="3"/>
        <charset val="128"/>
        <scheme val="minor"/>
      </rPr>
      <t>0.539</t>
    </r>
    <r>
      <rPr>
        <sz val="11"/>
        <color theme="1"/>
        <rFont val="ＭＳ Ｐゴシック"/>
        <family val="3"/>
        <charset val="128"/>
        <scheme val="minor"/>
      </rPr>
      <t>×(デフレーター)</t>
    </r>
    <phoneticPr fontId="2"/>
  </si>
  <si>
    <r>
      <t>[1%換算]m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/日</t>
    </r>
    <phoneticPr fontId="2"/>
  </si>
  <si>
    <r>
      <t>Qd：計画消化槽投入汚泥量[1%換算]m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/日</t>
    </r>
    <rPh sb="5" eb="7">
      <t>ショウカ</t>
    </rPh>
    <rPh sb="7" eb="8">
      <t>ソウ</t>
    </rPh>
    <phoneticPr fontId="2"/>
  </si>
  <si>
    <r>
      <t>Y =  51.6 Qｄ</t>
    </r>
    <r>
      <rPr>
        <vertAlign val="superscript"/>
        <sz val="11"/>
        <color theme="1"/>
        <rFont val="ＭＳ Ｐゴシック"/>
        <family val="3"/>
        <charset val="128"/>
        <scheme val="minor"/>
      </rPr>
      <t>0.385</t>
    </r>
    <r>
      <rPr>
        <sz val="11"/>
        <color theme="1"/>
        <rFont val="ＭＳ Ｐゴシック"/>
        <family val="3"/>
        <charset val="128"/>
        <scheme val="minor"/>
      </rPr>
      <t>×(デフレーター)</t>
    </r>
    <phoneticPr fontId="2"/>
  </si>
  <si>
    <r>
      <t>　Y =  0.2×17.8Qｄ</t>
    </r>
    <r>
      <rPr>
        <vertAlign val="superscript"/>
        <sz val="11"/>
        <color theme="1"/>
        <rFont val="ＭＳ Ｐゴシック"/>
        <family val="3"/>
        <charset val="128"/>
        <scheme val="minor"/>
      </rPr>
      <t>0.464</t>
    </r>
    <r>
      <rPr>
        <sz val="11"/>
        <color theme="1"/>
        <rFont val="ＭＳ Ｐゴシック"/>
        <family val="3"/>
        <charset val="128"/>
        <scheme val="minor"/>
      </rPr>
      <t>×(デフレーター)</t>
    </r>
    <phoneticPr fontId="2"/>
  </si>
  <si>
    <r>
      <t>[1%換算]m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/年</t>
    </r>
    <phoneticPr fontId="2"/>
  </si>
  <si>
    <r>
      <t>②、Qy：年間消化槽投入汚泥量[1%換算]m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/年</t>
    </r>
    <rPh sb="7" eb="9">
      <t>ショウカ</t>
    </rPh>
    <rPh sb="9" eb="10">
      <t>ソウ</t>
    </rPh>
    <rPh sb="10" eb="12">
      <t>トウニュウ</t>
    </rPh>
    <phoneticPr fontId="2"/>
  </si>
  <si>
    <r>
      <t>Y=系列数×1.454Q1</t>
    </r>
    <r>
      <rPr>
        <vertAlign val="superscript"/>
        <sz val="11"/>
        <color theme="1"/>
        <rFont val="ＭＳ Ｐゴシック"/>
        <family val="3"/>
        <charset val="128"/>
        <scheme val="minor"/>
      </rPr>
      <t>0.6805</t>
    </r>
    <phoneticPr fontId="2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</si>
  <si>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phoneticPr fontId="2"/>
  </si>
  <si>
    <r>
      <t>Y=2.2341Q2</t>
    </r>
    <r>
      <rPr>
        <vertAlign val="superscript"/>
        <sz val="11"/>
        <color theme="1"/>
        <rFont val="ＭＳ Ｐゴシック"/>
        <family val="3"/>
        <charset val="128"/>
        <scheme val="minor"/>
      </rPr>
      <t>0.375</t>
    </r>
    <phoneticPr fontId="2"/>
  </si>
  <si>
    <r>
      <t>Q2：日平均ガス発生量（Nm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 日）</t>
    </r>
    <phoneticPr fontId="2"/>
  </si>
  <si>
    <r>
      <t>Y=9.4186Q2</t>
    </r>
    <r>
      <rPr>
        <vertAlign val="superscript"/>
        <sz val="11"/>
        <color theme="1"/>
        <rFont val="ＭＳ Ｐゴシック"/>
        <family val="3"/>
        <charset val="128"/>
        <scheme val="minor"/>
      </rPr>
      <t>0.4122</t>
    </r>
    <phoneticPr fontId="2"/>
  </si>
  <si>
    <r>
      <t>Y=11.209Q2</t>
    </r>
    <r>
      <rPr>
        <vertAlign val="superscript"/>
        <sz val="11"/>
        <color theme="1"/>
        <rFont val="ＭＳ Ｐゴシック"/>
        <family val="3"/>
        <charset val="128"/>
        <scheme val="minor"/>
      </rPr>
      <t>0.699</t>
    </r>
    <phoneticPr fontId="2"/>
  </si>
  <si>
    <r>
      <t>Nm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 日</t>
    </r>
    <phoneticPr fontId="2"/>
  </si>
  <si>
    <r>
      <t>⑫、Q2：日平均ガス発生量（Nm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 日）</t>
    </r>
    <phoneticPr fontId="2"/>
  </si>
  <si>
    <r>
      <t>Y=153.07Qy</t>
    </r>
    <r>
      <rPr>
        <vertAlign val="superscript"/>
        <sz val="11"/>
        <color theme="1"/>
        <rFont val="ＭＳ Ｐゴシック"/>
        <family val="3"/>
        <charset val="128"/>
        <scheme val="minor"/>
      </rPr>
      <t>0.3828</t>
    </r>
    <phoneticPr fontId="2"/>
  </si>
  <si>
    <r>
      <t>⑭、Qy：年間消化槽投入汚泥量[1%換算]m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/年</t>
    </r>
    <rPh sb="7" eb="9">
      <t>ショウカ</t>
    </rPh>
    <rPh sb="9" eb="10">
      <t>ソウ</t>
    </rPh>
    <rPh sb="10" eb="12">
      <t>トウニュウ</t>
    </rPh>
    <phoneticPr fontId="2"/>
  </si>
  <si>
    <r>
      <t>Y=25.538Qd2</t>
    </r>
    <r>
      <rPr>
        <vertAlign val="superscript"/>
        <sz val="11"/>
        <color theme="1"/>
        <rFont val="ＭＳ Ｐゴシック"/>
        <family val="3"/>
        <charset val="128"/>
        <scheme val="minor"/>
      </rPr>
      <t>0.1733</t>
    </r>
    <phoneticPr fontId="2"/>
  </si>
  <si>
    <r>
      <t>Y=50.713Qd2</t>
    </r>
    <r>
      <rPr>
        <vertAlign val="superscript"/>
        <sz val="11"/>
        <color theme="1"/>
        <rFont val="ＭＳ Ｐゴシック"/>
        <family val="3"/>
        <charset val="128"/>
        <scheme val="minor"/>
      </rPr>
      <t>0.2152</t>
    </r>
    <phoneticPr fontId="2"/>
  </si>
  <si>
    <r>
      <t>Y=14102Q3</t>
    </r>
    <r>
      <rPr>
        <vertAlign val="superscript"/>
        <sz val="11"/>
        <color theme="1"/>
        <rFont val="ＭＳ Ｐゴシック"/>
        <family val="3"/>
        <charset val="128"/>
        <scheme val="minor"/>
      </rPr>
      <t>0.6412</t>
    </r>
    <phoneticPr fontId="2"/>
  </si>
  <si>
    <r>
      <t>Y=26.386Qd2</t>
    </r>
    <r>
      <rPr>
        <vertAlign val="superscript"/>
        <sz val="11"/>
        <color theme="1"/>
        <rFont val="ＭＳ Ｐゴシック"/>
        <family val="3"/>
        <charset val="128"/>
        <scheme val="minor"/>
      </rPr>
      <t>0.3118</t>
    </r>
    <phoneticPr fontId="2"/>
  </si>
  <si>
    <r>
      <t>Y=50.808Qd2</t>
    </r>
    <r>
      <rPr>
        <vertAlign val="superscript"/>
        <sz val="11"/>
        <color theme="1"/>
        <rFont val="ＭＳ Ｐゴシック"/>
        <family val="3"/>
        <charset val="128"/>
        <scheme val="minor"/>
      </rPr>
      <t>0.3717</t>
    </r>
    <phoneticPr fontId="2"/>
  </si>
  <si>
    <r>
      <t>Y=1862.1Q3</t>
    </r>
    <r>
      <rPr>
        <vertAlign val="superscript"/>
        <sz val="11"/>
        <color theme="1"/>
        <rFont val="ＭＳ Ｐゴシック"/>
        <family val="3"/>
        <charset val="128"/>
        <scheme val="minor"/>
      </rPr>
      <t>0.5707</t>
    </r>
    <phoneticPr fontId="2"/>
  </si>
  <si>
    <t>技術区分</t>
    <rPh sb="0" eb="2">
      <t>ギジュツ</t>
    </rPh>
    <rPh sb="2" eb="4">
      <t>クブン</t>
    </rPh>
    <phoneticPr fontId="2"/>
  </si>
  <si>
    <t>合　計　（革新的技術)）</t>
    <rPh sb="0" eb="1">
      <t>ゴウ</t>
    </rPh>
    <rPh sb="2" eb="3">
      <t>ケイ</t>
    </rPh>
    <rPh sb="5" eb="8">
      <t>カクシンテキ</t>
    </rPh>
    <rPh sb="8" eb="10">
      <t>ギジュツ</t>
    </rPh>
    <phoneticPr fontId="2"/>
  </si>
  <si>
    <t>合　計　（中温消化)）</t>
    <rPh sb="0" eb="1">
      <t>ゴウ</t>
    </rPh>
    <rPh sb="2" eb="3">
      <t>ケイ</t>
    </rPh>
    <rPh sb="5" eb="7">
      <t>チュウオン</t>
    </rPh>
    <rPh sb="7" eb="9">
      <t>ショウカ</t>
    </rPh>
    <phoneticPr fontId="2"/>
  </si>
  <si>
    <t>従来技術
（中温消化）</t>
    <rPh sb="0" eb="2">
      <t>ジュウライ</t>
    </rPh>
    <rPh sb="2" eb="4">
      <t>ギジュツ</t>
    </rPh>
    <rPh sb="6" eb="8">
      <t>チュウオン</t>
    </rPh>
    <rPh sb="8" eb="10">
      <t>ショウカ</t>
    </rPh>
    <phoneticPr fontId="2"/>
  </si>
  <si>
    <t>分解VS量</t>
    <rPh sb="0" eb="2">
      <t>ブンカイ</t>
    </rPh>
    <rPh sb="4" eb="5">
      <t>リョウ</t>
    </rPh>
    <phoneticPr fontId="2"/>
  </si>
  <si>
    <t>混合濃縮汚泥</t>
    <rPh sb="0" eb="2">
      <t>コンゴウ</t>
    </rPh>
    <rPh sb="2" eb="4">
      <t>ノウシュク</t>
    </rPh>
    <rPh sb="4" eb="6">
      <t>オデイ</t>
    </rPh>
    <phoneticPr fontId="50"/>
  </si>
  <si>
    <t>消化設備</t>
    <rPh sb="0" eb="2">
      <t>ショウカ</t>
    </rPh>
    <rPh sb="2" eb="4">
      <t>セツビ</t>
    </rPh>
    <phoneticPr fontId="2"/>
  </si>
  <si>
    <t>ｋWh/年</t>
    <rPh sb="4" eb="5">
      <t>ネン</t>
    </rPh>
    <phoneticPr fontId="2"/>
  </si>
  <si>
    <t>消費電力量合計　（従来技術(中温消化)）</t>
    <rPh sb="0" eb="2">
      <t>ショウヒ</t>
    </rPh>
    <rPh sb="2" eb="4">
      <t>デンリョク</t>
    </rPh>
    <rPh sb="4" eb="5">
      <t>リョウ</t>
    </rPh>
    <rPh sb="5" eb="7">
      <t>ゴウケイ</t>
    </rPh>
    <rPh sb="9" eb="11">
      <t>ジュウライ</t>
    </rPh>
    <rPh sb="11" eb="13">
      <t>ギジュツ</t>
    </rPh>
    <rPh sb="14" eb="16">
      <t>チュウオン</t>
    </rPh>
    <rPh sb="16" eb="18">
      <t>ショウカ</t>
    </rPh>
    <phoneticPr fontId="2"/>
  </si>
  <si>
    <r>
      <t>Y =  171 Qy</t>
    </r>
    <r>
      <rPr>
        <vertAlign val="superscript"/>
        <sz val="11"/>
        <color theme="1"/>
        <rFont val="ＭＳ Ｐゴシック"/>
        <family val="3"/>
        <charset val="128"/>
        <scheme val="minor"/>
      </rPr>
      <t>0.39</t>
    </r>
    <phoneticPr fontId="2"/>
  </si>
  <si>
    <t>Y=0.9Qy+6283.3</t>
    <phoneticPr fontId="2"/>
  </si>
  <si>
    <t>消費電力量（kWh/年）</t>
    <rPh sb="0" eb="2">
      <t>ショウヒ</t>
    </rPh>
    <rPh sb="2" eb="4">
      <t>デンリョク</t>
    </rPh>
    <rPh sb="4" eb="5">
      <t>リョウ</t>
    </rPh>
    <rPh sb="10" eb="11">
      <t>ネン</t>
    </rPh>
    <phoneticPr fontId="2"/>
  </si>
  <si>
    <r>
      <t>Y =  39Qy</t>
    </r>
    <r>
      <rPr>
        <vertAlign val="superscript"/>
        <sz val="11"/>
        <color theme="1"/>
        <rFont val="ＭＳ Ｐゴシック"/>
        <family val="3"/>
        <charset val="128"/>
        <scheme val="minor"/>
      </rPr>
      <t>0.596</t>
    </r>
    <phoneticPr fontId="2"/>
  </si>
  <si>
    <t>消化槽設備</t>
    <rPh sb="0" eb="2">
      <t>ショウカ</t>
    </rPh>
    <rPh sb="2" eb="3">
      <t>ソウ</t>
    </rPh>
    <rPh sb="3" eb="5">
      <t>セツビ</t>
    </rPh>
    <phoneticPr fontId="2"/>
  </si>
  <si>
    <r>
      <t>Y=系列数×158 .42Q１</t>
    </r>
    <r>
      <rPr>
        <vertAlign val="superscript"/>
        <sz val="11"/>
        <color theme="1"/>
        <rFont val="ＭＳ Ｐゴシック"/>
        <family val="3"/>
        <charset val="128"/>
      </rPr>
      <t>0.4804</t>
    </r>
    <phoneticPr fontId="2"/>
  </si>
  <si>
    <r>
      <t>Qy：年間消化槽投入汚泥量[1%換算]m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/年</t>
    </r>
    <rPh sb="5" eb="7">
      <t>ショウカ</t>
    </rPh>
    <rPh sb="7" eb="8">
      <t>ソウ</t>
    </rPh>
    <rPh sb="8" eb="10">
      <t>トウニュウ</t>
    </rPh>
    <phoneticPr fontId="2"/>
  </si>
  <si>
    <r>
      <t>Y=系列数×11.395(Qy/系列数)</t>
    </r>
    <r>
      <rPr>
        <vertAlign val="superscript"/>
        <sz val="11"/>
        <color theme="1"/>
        <rFont val="ＭＳ Ｐゴシック"/>
        <family val="3"/>
        <charset val="128"/>
      </rPr>
      <t>0.7583</t>
    </r>
    <rPh sb="16" eb="18">
      <t>ケイレツ</t>
    </rPh>
    <rPh sb="18" eb="19">
      <t>スウ</t>
    </rPh>
    <phoneticPr fontId="2"/>
  </si>
  <si>
    <t>高効率加温設備</t>
    <rPh sb="0" eb="3">
      <t>コウコウリツ</t>
    </rPh>
    <rPh sb="3" eb="5">
      <t>カオン</t>
    </rPh>
    <rPh sb="5" eb="7">
      <t>セツビ</t>
    </rPh>
    <phoneticPr fontId="2"/>
  </si>
  <si>
    <r>
      <t>Q1：(１槽あたり)消化槽容量m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Ph sb="10" eb="12">
      <t>ショウカ</t>
    </rPh>
    <rPh sb="12" eb="13">
      <t>ソウ</t>
    </rPh>
    <rPh sb="13" eb="15">
      <t>ヨウリョウ</t>
    </rPh>
    <phoneticPr fontId="2"/>
  </si>
  <si>
    <t>消費電力量（中温消化と比較した増加分）</t>
    <rPh sb="0" eb="2">
      <t>ショウヒ</t>
    </rPh>
    <rPh sb="2" eb="4">
      <t>デンリョク</t>
    </rPh>
    <rPh sb="4" eb="5">
      <t>リョウ</t>
    </rPh>
    <rPh sb="6" eb="8">
      <t>チュウオン</t>
    </rPh>
    <rPh sb="8" eb="10">
      <t>ショウカ</t>
    </rPh>
    <rPh sb="11" eb="13">
      <t>ヒカク</t>
    </rPh>
    <rPh sb="15" eb="18">
      <t>ゾウカブン</t>
    </rPh>
    <phoneticPr fontId="2"/>
  </si>
  <si>
    <t>Y=0.1168Qy+320</t>
    <phoneticPr fontId="2"/>
  </si>
  <si>
    <t>地域バイオマス
受入設備
（外部受入脱水汚泥）</t>
    <rPh sb="0" eb="2">
      <t>チイキ</t>
    </rPh>
    <rPh sb="8" eb="10">
      <t>ウケイレ</t>
    </rPh>
    <rPh sb="10" eb="12">
      <t>セツビ</t>
    </rPh>
    <phoneticPr fontId="2"/>
  </si>
  <si>
    <t>地域バイオマス
受入設備
（外部受入]脱水汚泥）</t>
    <rPh sb="0" eb="2">
      <t>チイキ</t>
    </rPh>
    <rPh sb="8" eb="10">
      <t>ウケイレ</t>
    </rPh>
    <rPh sb="10" eb="12">
      <t>セツビ</t>
    </rPh>
    <rPh sb="14" eb="16">
      <t>ガイブ</t>
    </rPh>
    <rPh sb="16" eb="18">
      <t>ウケイ</t>
    </rPh>
    <rPh sb="19" eb="21">
      <t>ダッスイ</t>
    </rPh>
    <rPh sb="21" eb="23">
      <t>オデイ</t>
    </rPh>
    <phoneticPr fontId="2"/>
  </si>
  <si>
    <t>Y=54145Q3+412.57</t>
    <phoneticPr fontId="2"/>
  </si>
  <si>
    <t>Y=2428.6Q3+364.29</t>
    <phoneticPr fontId="2"/>
  </si>
  <si>
    <t>消費電力量合計　（革新的技術）</t>
    <rPh sb="0" eb="2">
      <t>ショウヒ</t>
    </rPh>
    <rPh sb="2" eb="4">
      <t>デンリョク</t>
    </rPh>
    <rPh sb="4" eb="5">
      <t>リョウ</t>
    </rPh>
    <rPh sb="5" eb="7">
      <t>ゴウケイ</t>
    </rPh>
    <rPh sb="9" eb="12">
      <t>カクシンテキ</t>
    </rPh>
    <rPh sb="12" eb="14">
      <t>ギジュツ</t>
    </rPh>
    <phoneticPr fontId="2"/>
  </si>
  <si>
    <t>Q3：日平均投入地域バイオマスt-ds/日</t>
    <rPh sb="3" eb="4">
      <t>ニチ</t>
    </rPh>
    <rPh sb="4" eb="6">
      <t>ヘイキン</t>
    </rPh>
    <rPh sb="8" eb="10">
      <t>チイキ</t>
    </rPh>
    <phoneticPr fontId="2"/>
  </si>
  <si>
    <t>革新的技術</t>
    <phoneticPr fontId="2"/>
  </si>
  <si>
    <t>分解VS当り消費電力量合計　（従来技術(中温消化)</t>
    <rPh sb="0" eb="2">
      <t>ブンカイ</t>
    </rPh>
    <rPh sb="4" eb="5">
      <t>アタ</t>
    </rPh>
    <rPh sb="6" eb="8">
      <t>ショウヒ</t>
    </rPh>
    <rPh sb="8" eb="10">
      <t>デンリョク</t>
    </rPh>
    <rPh sb="10" eb="11">
      <t>リョウ</t>
    </rPh>
    <rPh sb="11" eb="13">
      <t>ゴウケイ</t>
    </rPh>
    <rPh sb="15" eb="17">
      <t>ジュウライ</t>
    </rPh>
    <rPh sb="17" eb="19">
      <t>ギジュツ</t>
    </rPh>
    <rPh sb="20" eb="22">
      <t>チュウオン</t>
    </rPh>
    <rPh sb="22" eb="24">
      <t>ショウカ</t>
    </rPh>
    <phoneticPr fontId="2"/>
  </si>
  <si>
    <t>ｋWh/t－分解VS</t>
    <rPh sb="6" eb="8">
      <t>ブンカイ</t>
    </rPh>
    <phoneticPr fontId="2"/>
  </si>
  <si>
    <t>エネルギー創出量</t>
    <rPh sb="5" eb="7">
      <t>ソウシュツ</t>
    </rPh>
    <rPh sb="7" eb="8">
      <t>リョウ</t>
    </rPh>
    <phoneticPr fontId="2"/>
  </si>
  <si>
    <t>消費電力量（分解VS当り消費電力量）</t>
    <rPh sb="0" eb="2">
      <t>ショウヒ</t>
    </rPh>
    <rPh sb="2" eb="4">
      <t>デンリョク</t>
    </rPh>
    <rPh sb="4" eb="5">
      <t>リョウ</t>
    </rPh>
    <rPh sb="6" eb="8">
      <t>ブンカイ</t>
    </rPh>
    <rPh sb="10" eb="11">
      <t>アタ</t>
    </rPh>
    <rPh sb="12" eb="14">
      <t>ショウヒ</t>
    </rPh>
    <rPh sb="14" eb="16">
      <t>デンリョク</t>
    </rPh>
    <rPh sb="16" eb="17">
      <t>リョウ</t>
    </rPh>
    <phoneticPr fontId="2"/>
  </si>
  <si>
    <t>脱水設備
（中温消化と比較した場合の維持管理費増分）</t>
    <rPh sb="0" eb="2">
      <t>ダッスイ</t>
    </rPh>
    <rPh sb="2" eb="4">
      <t>セツビ</t>
    </rPh>
    <rPh sb="6" eb="8">
      <t>チュウオン</t>
    </rPh>
    <rPh sb="8" eb="10">
      <t>ショウカ</t>
    </rPh>
    <rPh sb="11" eb="13">
      <t>ヒカク</t>
    </rPh>
    <rPh sb="15" eb="17">
      <t>バアイ</t>
    </rPh>
    <rPh sb="18" eb="20">
      <t>イジ</t>
    </rPh>
    <rPh sb="20" eb="23">
      <t>カンリヒ</t>
    </rPh>
    <rPh sb="23" eb="25">
      <t>ゾウブン</t>
    </rPh>
    <phoneticPr fontId="2"/>
  </si>
  <si>
    <t>エネルギー創出量</t>
    <rPh sb="5" eb="7">
      <t>ソウシュツ</t>
    </rPh>
    <rPh sb="7" eb="8">
      <t>リョウ</t>
    </rPh>
    <phoneticPr fontId="50"/>
  </si>
  <si>
    <t>発生ガス量</t>
    <rPh sb="0" eb="2">
      <t>ハッセイ</t>
    </rPh>
    <rPh sb="4" eb="5">
      <t>リョウ</t>
    </rPh>
    <phoneticPr fontId="29"/>
  </si>
  <si>
    <t>(Nm3/日)</t>
    <rPh sb="5" eb="6">
      <t>ニチ</t>
    </rPh>
    <phoneticPr fontId="50"/>
  </si>
  <si>
    <t>消化ガス熱量</t>
    <rPh sb="0" eb="2">
      <t>ショウカ</t>
    </rPh>
    <rPh sb="4" eb="6">
      <t>ネツリョウ</t>
    </rPh>
    <phoneticPr fontId="29"/>
  </si>
  <si>
    <t>3'.</t>
    <phoneticPr fontId="2"/>
  </si>
  <si>
    <t>(MJ/Nｍ3)</t>
    <phoneticPr fontId="2"/>
  </si>
  <si>
    <t>発電利用ガス量</t>
    <rPh sb="0" eb="2">
      <t>ハツデン</t>
    </rPh>
    <rPh sb="2" eb="4">
      <t>リヨウ</t>
    </rPh>
    <rPh sb="6" eb="7">
      <t>リョウ</t>
    </rPh>
    <phoneticPr fontId="29"/>
  </si>
  <si>
    <t>発電量</t>
    <rPh sb="0" eb="2">
      <t>ハツデン</t>
    </rPh>
    <rPh sb="2" eb="3">
      <t>リョウ</t>
    </rPh>
    <phoneticPr fontId="2"/>
  </si>
  <si>
    <t>従来技術（中温消化）</t>
    <rPh sb="0" eb="2">
      <t>ジュウライ</t>
    </rPh>
    <rPh sb="2" eb="4">
      <t>ギジュツ</t>
    </rPh>
    <rPh sb="5" eb="7">
      <t>チュウオン</t>
    </rPh>
    <rPh sb="7" eb="9">
      <t>ショウカ</t>
    </rPh>
    <phoneticPr fontId="2"/>
  </si>
  <si>
    <t>(t/年)</t>
    <rPh sb="3" eb="4">
      <t>ネン</t>
    </rPh>
    <phoneticPr fontId="50"/>
  </si>
  <si>
    <t>(kW)</t>
    <phoneticPr fontId="50"/>
  </si>
  <si>
    <t>(kWh/年)</t>
    <rPh sb="5" eb="6">
      <t>ネン</t>
    </rPh>
    <phoneticPr fontId="50"/>
  </si>
  <si>
    <t>1)</t>
    <phoneticPr fontId="29"/>
  </si>
  <si>
    <t>バイオガス発電量増加</t>
    <phoneticPr fontId="29"/>
  </si>
  <si>
    <t>2)</t>
  </si>
  <si>
    <t>エネルギー消費量削減</t>
    <rPh sb="5" eb="8">
      <t>ショウヒリョウ</t>
    </rPh>
    <rPh sb="8" eb="10">
      <t>サクゲン</t>
    </rPh>
    <phoneticPr fontId="29"/>
  </si>
  <si>
    <t>3)</t>
  </si>
  <si>
    <t>汚泥排出量削減に伴うＣＯ２排出減</t>
    <rPh sb="0" eb="2">
      <t>オデイ</t>
    </rPh>
    <rPh sb="2" eb="4">
      <t>ハイシュツ</t>
    </rPh>
    <rPh sb="4" eb="5">
      <t>リョウ</t>
    </rPh>
    <rPh sb="5" eb="7">
      <t>サクゲン</t>
    </rPh>
    <rPh sb="8" eb="9">
      <t>トモナ</t>
    </rPh>
    <rPh sb="13" eb="15">
      <t>ハイシュツ</t>
    </rPh>
    <rPh sb="15" eb="16">
      <t>ゲン</t>
    </rPh>
    <phoneticPr fontId="29"/>
  </si>
  <si>
    <t>ＣＯ２排出係数</t>
    <phoneticPr fontId="29"/>
  </si>
  <si>
    <t>ｔ-CO2/千kWh</t>
    <rPh sb="6" eb="7">
      <t>セン</t>
    </rPh>
    <phoneticPr fontId="29"/>
  </si>
  <si>
    <t>ｔ-CO2/年</t>
    <rPh sb="6" eb="7">
      <t>ネン</t>
    </rPh>
    <phoneticPr fontId="29"/>
  </si>
  <si>
    <t>0.0000097　t-CH4/wet-t + 0.00151 t-N2O/wet-t</t>
    <phoneticPr fontId="29"/>
  </si>
  <si>
    <t>t-CO2/wet-t</t>
    <phoneticPr fontId="29"/>
  </si>
  <si>
    <t>コンポスト</t>
    <phoneticPr fontId="29"/>
  </si>
  <si>
    <t>温室効果ガス削減量は、以下の総和から求める。</t>
    <rPh sb="0" eb="2">
      <t>オンシツ</t>
    </rPh>
    <rPh sb="2" eb="4">
      <t>コウカ</t>
    </rPh>
    <rPh sb="6" eb="8">
      <t>サクゲン</t>
    </rPh>
    <rPh sb="8" eb="9">
      <t>リョウ</t>
    </rPh>
    <rPh sb="11" eb="13">
      <t>イカ</t>
    </rPh>
    <rPh sb="14" eb="16">
      <t>ソウワ</t>
    </rPh>
    <rPh sb="18" eb="19">
      <t>モト</t>
    </rPh>
    <phoneticPr fontId="29"/>
  </si>
  <si>
    <t>バイオガス発電量増加による
温室効果ガス削減効果</t>
    <rPh sb="14" eb="16">
      <t>オンシツ</t>
    </rPh>
    <rPh sb="16" eb="18">
      <t>コウカ</t>
    </rPh>
    <rPh sb="20" eb="22">
      <t>サクゲン</t>
    </rPh>
    <rPh sb="22" eb="24">
      <t>コウカ</t>
    </rPh>
    <phoneticPr fontId="2"/>
  </si>
  <si>
    <t>　　バイオガス発電量×ＣＯ２排出係数</t>
    <rPh sb="7" eb="9">
      <t>ハツデン</t>
    </rPh>
    <rPh sb="9" eb="10">
      <t>リョウ</t>
    </rPh>
    <phoneticPr fontId="29"/>
  </si>
  <si>
    <t>(2)'</t>
    <phoneticPr fontId="2"/>
  </si>
  <si>
    <t>(1)'</t>
    <phoneticPr fontId="2"/>
  </si>
  <si>
    <t>エネルギー消費量削減による
温室効果ガス削減効果</t>
    <rPh sb="14" eb="16">
      <t>オンシツ</t>
    </rPh>
    <rPh sb="16" eb="18">
      <t>コウカ</t>
    </rPh>
    <rPh sb="20" eb="22">
      <t>サクゲン</t>
    </rPh>
    <rPh sb="22" eb="24">
      <t>コウカ</t>
    </rPh>
    <phoneticPr fontId="2"/>
  </si>
  <si>
    <t>(1)"</t>
    <phoneticPr fontId="2"/>
  </si>
  <si>
    <t>(2)"</t>
    <phoneticPr fontId="2"/>
  </si>
  <si>
    <t>　　消費電力量×ＣＯ２排出係数</t>
    <rPh sb="2" eb="4">
      <t>ショウヒ</t>
    </rPh>
    <rPh sb="4" eb="6">
      <t>デンリョク</t>
    </rPh>
    <rPh sb="6" eb="7">
      <t>リョウ</t>
    </rPh>
    <phoneticPr fontId="29"/>
  </si>
  <si>
    <t>計算式</t>
    <rPh sb="0" eb="3">
      <t>ケイサンシキ</t>
    </rPh>
    <phoneticPr fontId="2"/>
  </si>
  <si>
    <t>汚泥排出量削減による
温室効果ガス削減効果</t>
    <rPh sb="0" eb="2">
      <t>オデイ</t>
    </rPh>
    <rPh sb="2" eb="4">
      <t>ハイシュツ</t>
    </rPh>
    <rPh sb="4" eb="5">
      <t>リョウ</t>
    </rPh>
    <rPh sb="11" eb="13">
      <t>オンシツ</t>
    </rPh>
    <rPh sb="13" eb="15">
      <t>コウカ</t>
    </rPh>
    <rPh sb="17" eb="19">
      <t>サクゲン</t>
    </rPh>
    <rPh sb="19" eb="21">
      <t>コウカ</t>
    </rPh>
    <phoneticPr fontId="2"/>
  </si>
  <si>
    <t>　　汚泥排出量×ＣＯ２排出係数</t>
    <rPh sb="2" eb="4">
      <t>オデイ</t>
    </rPh>
    <rPh sb="4" eb="6">
      <t>ハイシュツ</t>
    </rPh>
    <rPh sb="6" eb="7">
      <t>リョウ</t>
    </rPh>
    <phoneticPr fontId="29"/>
  </si>
  <si>
    <t>ｔ-W/年</t>
    <rPh sb="4" eb="5">
      <t>ネン</t>
    </rPh>
    <phoneticPr fontId="2"/>
  </si>
  <si>
    <t>排出汚泥量</t>
    <rPh sb="0" eb="2">
      <t>ハイシュツ</t>
    </rPh>
    <rPh sb="2" eb="4">
      <t>オデイ</t>
    </rPh>
    <rPh sb="4" eb="5">
      <t>リョウ</t>
    </rPh>
    <phoneticPr fontId="2"/>
  </si>
  <si>
    <t>食品廃棄物</t>
    <rPh sb="0" eb="2">
      <t>ショクヒン</t>
    </rPh>
    <rPh sb="2" eb="5">
      <t>ハイキブツ</t>
    </rPh>
    <phoneticPr fontId="2"/>
  </si>
  <si>
    <t>外部受入汚泥</t>
    <rPh sb="0" eb="2">
      <t>ガイブ</t>
    </rPh>
    <rPh sb="2" eb="4">
      <t>ウケイレ</t>
    </rPh>
    <rPh sb="4" eb="6">
      <t>オデイ</t>
    </rPh>
    <phoneticPr fontId="2"/>
  </si>
  <si>
    <t>（年間排出量）×（運搬単価）</t>
    <rPh sb="1" eb="3">
      <t>ネンカン</t>
    </rPh>
    <rPh sb="3" eb="5">
      <t>ハイシュツ</t>
    </rPh>
    <rPh sb="5" eb="6">
      <t>リョウ</t>
    </rPh>
    <rPh sb="9" eb="11">
      <t>ウンパン</t>
    </rPh>
    <rPh sb="11" eb="13">
      <t>タンカ</t>
    </rPh>
    <phoneticPr fontId="2"/>
  </si>
  <si>
    <t>焼却(温度800℃)</t>
    <rPh sb="0" eb="2">
      <t>ショウキャク</t>
    </rPh>
    <rPh sb="3" eb="5">
      <t>オンド</t>
    </rPh>
    <phoneticPr fontId="29"/>
  </si>
  <si>
    <t>t-CO2/wet-t</t>
    <phoneticPr fontId="29"/>
  </si>
  <si>
    <t>（ｔ-CO2/年）</t>
    <rPh sb="7" eb="8">
      <t>ネン</t>
    </rPh>
    <phoneticPr fontId="2"/>
  </si>
  <si>
    <t>温室効果ガス削減量</t>
    <rPh sb="0" eb="2">
      <t>オンシツ</t>
    </rPh>
    <rPh sb="2" eb="4">
      <t>コウカ</t>
    </rPh>
    <rPh sb="6" eb="8">
      <t>サクゲン</t>
    </rPh>
    <rPh sb="8" eb="9">
      <t>リョウ</t>
    </rPh>
    <phoneticPr fontId="2"/>
  </si>
  <si>
    <t>(2)'''</t>
    <phoneticPr fontId="2"/>
  </si>
  <si>
    <t>(1)'''</t>
    <phoneticPr fontId="2"/>
  </si>
  <si>
    <t>汚泥・地域バイオマス排出量×ＣＯ２排出係数</t>
    <rPh sb="0" eb="2">
      <t>オデイ</t>
    </rPh>
    <rPh sb="3" eb="5">
      <t>チイキ</t>
    </rPh>
    <rPh sb="10" eb="12">
      <t>ハイシュツ</t>
    </rPh>
    <rPh sb="12" eb="13">
      <t>リョウ</t>
    </rPh>
    <phoneticPr fontId="29"/>
  </si>
  <si>
    <t>温室効果ガス削減効果合計</t>
    <rPh sb="0" eb="2">
      <t>オンシツ</t>
    </rPh>
    <rPh sb="2" eb="4">
      <t>コウカ</t>
    </rPh>
    <rPh sb="6" eb="8">
      <t>サクゲン</t>
    </rPh>
    <rPh sb="8" eb="10">
      <t>コウカ</t>
    </rPh>
    <rPh sb="10" eb="12">
      <t>ゴウケイ</t>
    </rPh>
    <phoneticPr fontId="2"/>
  </si>
  <si>
    <t xml:space="preserve">A＝(2)' ―　(1)' </t>
    <phoneticPr fontId="2"/>
  </si>
  <si>
    <t>B＝(1)" ―　(2)"</t>
    <phoneticPr fontId="2"/>
  </si>
  <si>
    <t>C＝(1)''' ―　(2)'''</t>
    <phoneticPr fontId="2"/>
  </si>
  <si>
    <t>Σ（A,B,C)</t>
    <phoneticPr fontId="2"/>
  </si>
  <si>
    <t xml:space="preserve">マテリアルバランス (消化無) (日平均) </t>
  </si>
  <si>
    <t xml:space="preserve">マテリアルバランス (従来技術) (日平均) </t>
  </si>
  <si>
    <t xml:space="preserve">熱バランス (従来技術) (日平均)  </t>
  </si>
  <si>
    <t>マテリアルバランス（実証技術） (日平均)</t>
  </si>
  <si>
    <t>熱バランス（実証技術） (日平均)</t>
  </si>
  <si>
    <t>高効率消化システムによる地産地消エネルギー活用技術入力シート</t>
    <rPh sb="0" eb="3">
      <t>コウコウリツ</t>
    </rPh>
    <rPh sb="3" eb="5">
      <t>ショウカ</t>
    </rPh>
    <rPh sb="12" eb="16">
      <t>チサンチショウ</t>
    </rPh>
    <rPh sb="21" eb="23">
      <t>カツヨウ</t>
    </rPh>
    <rPh sb="23" eb="25">
      <t>ギジュツ</t>
    </rPh>
    <rPh sb="25" eb="27">
      <t>ニュウリョク</t>
    </rPh>
    <phoneticPr fontId="2"/>
  </si>
  <si>
    <t>加温必要熱量(MJ/日)</t>
    <rPh sb="0" eb="2">
      <t>カオン</t>
    </rPh>
    <rPh sb="2" eb="4">
      <t>ヒツヨウ</t>
    </rPh>
    <rPh sb="4" eb="6">
      <t>ネツリョウ</t>
    </rPh>
    <rPh sb="10" eb="11">
      <t>ニチ</t>
    </rPh>
    <phoneticPr fontId="2"/>
  </si>
  <si>
    <t>系列数を消化槽の総数と同数</t>
    <rPh sb="0" eb="2">
      <t>ケイレツ</t>
    </rPh>
    <rPh sb="2" eb="3">
      <t>スウ</t>
    </rPh>
    <rPh sb="4" eb="6">
      <t>ショウカ</t>
    </rPh>
    <rPh sb="6" eb="7">
      <t>ソウ</t>
    </rPh>
    <rPh sb="8" eb="10">
      <t>ソウスウ</t>
    </rPh>
    <rPh sb="11" eb="13">
      <t>ドウスウ</t>
    </rPh>
    <phoneticPr fontId="2"/>
  </si>
  <si>
    <t>総容量4,000m3以上の場合は２系列</t>
    <rPh sb="0" eb="1">
      <t>ソウ</t>
    </rPh>
    <rPh sb="1" eb="3">
      <t>ヨウリョウ</t>
    </rPh>
    <rPh sb="10" eb="12">
      <t>イジョウ</t>
    </rPh>
    <rPh sb="13" eb="15">
      <t>バアイ</t>
    </rPh>
    <rPh sb="17" eb="19">
      <t>ケイレツ</t>
    </rPh>
    <phoneticPr fontId="2"/>
  </si>
  <si>
    <t>汚泥処分方法　：</t>
    <rPh sb="0" eb="2">
      <t>オデイ</t>
    </rPh>
    <rPh sb="2" eb="4">
      <t>ショブン</t>
    </rPh>
    <rPh sb="4" eb="6">
      <t>ホウホウ</t>
    </rPh>
    <phoneticPr fontId="2"/>
  </si>
  <si>
    <t>日平均汚水量</t>
    <rPh sb="0" eb="1">
      <t>ニチ</t>
    </rPh>
    <rPh sb="1" eb="3">
      <t>ヘイキン</t>
    </rPh>
    <rPh sb="3" eb="5">
      <t>オスイ</t>
    </rPh>
    <rPh sb="5" eb="6">
      <t>リョウ</t>
    </rPh>
    <phoneticPr fontId="2"/>
  </si>
  <si>
    <t>計画汚水量</t>
    <rPh sb="0" eb="2">
      <t>ケイカク</t>
    </rPh>
    <rPh sb="2" eb="4">
      <t>オスイ</t>
    </rPh>
    <rPh sb="4" eb="5">
      <t>リョウ</t>
    </rPh>
    <phoneticPr fontId="2"/>
  </si>
  <si>
    <t>(ｍ3/日)</t>
    <rPh sb="4" eb="5">
      <t>ニチ</t>
    </rPh>
    <phoneticPr fontId="29"/>
  </si>
  <si>
    <t>地域バイオマス投入</t>
    <rPh sb="0" eb="2">
      <t>チイキ</t>
    </rPh>
    <rPh sb="7" eb="9">
      <t>トウニュウ</t>
    </rPh>
    <phoneticPr fontId="2"/>
  </si>
  <si>
    <t>外部脱水汚泥</t>
    <rPh sb="0" eb="2">
      <t>ガイブ</t>
    </rPh>
    <rPh sb="2" eb="4">
      <t>ダッスイ</t>
    </rPh>
    <rPh sb="4" eb="6">
      <t>オデイ</t>
    </rPh>
    <phoneticPr fontId="2"/>
  </si>
  <si>
    <t>入力欄</t>
    <rPh sb="0" eb="2">
      <t>ニュウリョク</t>
    </rPh>
    <rPh sb="2" eb="3">
      <t>ラン</t>
    </rPh>
    <phoneticPr fontId="2"/>
  </si>
  <si>
    <t>あり</t>
  </si>
  <si>
    <t>「あり」又は「なし」を選択</t>
    <rPh sb="4" eb="5">
      <t>マタ</t>
    </rPh>
    <rPh sb="11" eb="13">
      <t>センタク</t>
    </rPh>
    <phoneticPr fontId="2"/>
  </si>
  <si>
    <t>脱水機機種</t>
    <rPh sb="0" eb="2">
      <t>ダッスイ</t>
    </rPh>
    <rPh sb="2" eb="3">
      <t>キ</t>
    </rPh>
    <rPh sb="3" eb="5">
      <t>キシュ</t>
    </rPh>
    <phoneticPr fontId="2"/>
  </si>
  <si>
    <t>発電機機種</t>
    <rPh sb="0" eb="3">
      <t>ハツデンキ</t>
    </rPh>
    <rPh sb="3" eb="5">
      <t>キシュ</t>
    </rPh>
    <phoneticPr fontId="2"/>
  </si>
  <si>
    <t>小型ｶﾞｽｴﾝｼﾞﾝ</t>
    <rPh sb="0" eb="2">
      <t>コガタ</t>
    </rPh>
    <phoneticPr fontId="2"/>
  </si>
  <si>
    <t>「焼却(800℃)」又は「コンポスト」を選択</t>
    <rPh sb="1" eb="3">
      <t>ショウキャク</t>
    </rPh>
    <rPh sb="10" eb="11">
      <t>マタ</t>
    </rPh>
    <rPh sb="20" eb="22">
      <t>センタク</t>
    </rPh>
    <phoneticPr fontId="2"/>
  </si>
  <si>
    <t xml:space="preserve"> ：電力</t>
    <rPh sb="2" eb="4">
      <t>デンリョク</t>
    </rPh>
    <phoneticPr fontId="2"/>
  </si>
  <si>
    <t xml:space="preserve"> ：脱水汚泥処分</t>
    <rPh sb="2" eb="4">
      <t>ダッスイ</t>
    </rPh>
    <rPh sb="4" eb="6">
      <t>オデイ</t>
    </rPh>
    <rPh sb="6" eb="8">
      <t>ショブン</t>
    </rPh>
    <phoneticPr fontId="2"/>
  </si>
  <si>
    <t>「遠心脱水」､「BP」､「SP」から選択</t>
    <rPh sb="1" eb="3">
      <t>エンシン</t>
    </rPh>
    <rPh sb="3" eb="5">
      <t>ダッスイ</t>
    </rPh>
    <rPh sb="18" eb="20">
      <t>センタク</t>
    </rPh>
    <phoneticPr fontId="2"/>
  </si>
  <si>
    <t>1．</t>
    <phoneticPr fontId="2"/>
  </si>
  <si>
    <t>2．</t>
  </si>
  <si>
    <t>3．</t>
  </si>
  <si>
    <t>（ループ計算入力）</t>
    <rPh sb="4" eb="6">
      <t>ケイサン</t>
    </rPh>
    <rPh sb="6" eb="8">
      <t>ニュウリョク</t>
    </rPh>
    <phoneticPr fontId="2"/>
  </si>
  <si>
    <t>実証技術について</t>
    <rPh sb="0" eb="2">
      <t>ジッショウ</t>
    </rPh>
    <rPh sb="2" eb="4">
      <t>ギジュツ</t>
    </rPh>
    <phoneticPr fontId="2"/>
  </si>
  <si>
    <t>可溶化投入消化汚泥VTS(％) = 消化汚泥VTS(％) となるようにループ計算を行う｡</t>
    <rPh sb="0" eb="3">
      <t>カヨウカ</t>
    </rPh>
    <rPh sb="3" eb="5">
      <t>トウニュウ</t>
    </rPh>
    <rPh sb="5" eb="7">
      <t>ショウカ</t>
    </rPh>
    <rPh sb="38" eb="40">
      <t>ケイサン</t>
    </rPh>
    <rPh sb="41" eb="42">
      <t>オコナ</t>
    </rPh>
    <phoneticPr fontId="2"/>
  </si>
  <si>
    <t>マテリアルバランス算出用設定値</t>
    <rPh sb="9" eb="11">
      <t>サンシュツ</t>
    </rPh>
    <rPh sb="11" eb="12">
      <t>ヨウ</t>
    </rPh>
    <rPh sb="12" eb="15">
      <t>セッテイチ</t>
    </rPh>
    <phoneticPr fontId="2"/>
  </si>
  <si>
    <t>1)</t>
    <phoneticPr fontId="2"/>
  </si>
  <si>
    <t>4)</t>
  </si>
  <si>
    <t>5)</t>
  </si>
  <si>
    <t>6)</t>
  </si>
  <si>
    <t>7)</t>
  </si>
  <si>
    <t>①</t>
    <phoneticPr fontId="2"/>
  </si>
  <si>
    <t>②</t>
    <phoneticPr fontId="2"/>
  </si>
  <si>
    <t>注) SOFCの長期安定運転については、今後の検討が必要</t>
    <rPh sb="0" eb="1">
      <t>チュウ</t>
    </rPh>
    <rPh sb="8" eb="10">
      <t>チョウキ</t>
    </rPh>
    <rPh sb="10" eb="12">
      <t>アンテイ</t>
    </rPh>
    <rPh sb="12" eb="14">
      <t>ウンテン</t>
    </rPh>
    <rPh sb="20" eb="22">
      <t>コンゴ</t>
    </rPh>
    <rPh sb="23" eb="25">
      <t>ケントウ</t>
    </rPh>
    <rPh sb="26" eb="28">
      <t>ヒツヨウ</t>
    </rPh>
    <phoneticPr fontId="2"/>
  </si>
  <si>
    <t>BP</t>
  </si>
  <si>
    <t>焼却(800℃)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</si>
</sst>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¥&quot;#,##0;[Red]&quot;¥&quot;\-#,##0"/>
    <numFmt numFmtId="176" formatCode="#,##0_ "/>
    <numFmt numFmtId="177" formatCode="0.0%"/>
    <numFmt numFmtId="178" formatCode="0.0"/>
    <numFmt numFmtId="179" formatCode="#,##0.000"/>
    <numFmt numFmtId="180" formatCode="#,##0.0"/>
    <numFmt numFmtId="181" formatCode="0.0_);[Red]\(0.0\)"/>
    <numFmt numFmtId="182" formatCode="0.00_);[Red]\(0.00\)"/>
    <numFmt numFmtId="183" formatCode="0_);[Red]\(0\)"/>
    <numFmt numFmtId="184" formatCode="#,##0_);[Red]\(#,##0\)"/>
    <numFmt numFmtId="185" formatCode="0.0_ "/>
    <numFmt numFmtId="186" formatCode="0_ "/>
    <numFmt numFmtId="187" formatCode="#,##0.0_ "/>
    <numFmt numFmtId="188" formatCode="#,##0.00_ "/>
    <numFmt numFmtId="189" formatCode="0.00_ "/>
    <numFmt numFmtId="190" formatCode="0.0000000000"/>
    <numFmt numFmtId="191" formatCode="General&quot;%&quot;"/>
    <numFmt numFmtId="192" formatCode="@&quot;ｔ/日&quot;"/>
    <numFmt numFmtId="193" formatCode="#,##0.0_);[Red]\(#,##0.0\)"/>
    <numFmt numFmtId="194" formatCode="0.000_ "/>
  </numFmts>
  <fonts count="5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Meiryo UI"/>
      <family val="3"/>
      <charset val="128"/>
    </font>
    <font>
      <vertAlign val="superscript"/>
      <sz val="10"/>
      <color rgb="FF000000"/>
      <name val="Meiryo UI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60936307870726"/>
        <bgColor indexed="64"/>
      </patternFill>
    </fill>
    <fill>
      <patternFill patternType="solid">
        <fgColor theme="5" tint="0.39960936307870726"/>
        <bgColor indexed="64"/>
      </patternFill>
    </fill>
    <fill>
      <patternFill patternType="solid">
        <fgColor theme="6" tint="0.39960936307870726"/>
        <bgColor indexed="64"/>
      </patternFill>
    </fill>
    <fill>
      <patternFill patternType="solid">
        <fgColor theme="7" tint="0.39960936307870726"/>
        <bgColor indexed="64"/>
      </patternFill>
    </fill>
    <fill>
      <patternFill patternType="solid">
        <fgColor theme="8" tint="0.39960936307870726"/>
        <bgColor indexed="64"/>
      </patternFill>
    </fill>
    <fill>
      <patternFill patternType="solid">
        <fgColor theme="9" tint="0.399609363078707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827570421460615"/>
      </bottom>
      <diagonal/>
    </border>
    <border>
      <left/>
      <right/>
      <top/>
      <bottom style="medium">
        <color theme="4" tint="0.3996093630787072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010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9" borderId="0" applyNumberFormat="0" applyBorder="0" applyProtection="0">
      <alignment vertical="center"/>
    </xf>
    <xf numFmtId="0" fontId="5" fillId="10" borderId="0" applyNumberFormat="0" applyBorder="0" applyProtection="0">
      <alignment vertical="center"/>
    </xf>
    <xf numFmtId="0" fontId="5" fillId="11" borderId="0" applyNumberFormat="0" applyBorder="0" applyProtection="0">
      <alignment vertical="center"/>
    </xf>
    <xf numFmtId="0" fontId="5" fillId="12" borderId="0" applyNumberFormat="0" applyBorder="0" applyProtection="0">
      <alignment vertical="center"/>
    </xf>
    <xf numFmtId="0" fontId="5" fillId="13" borderId="0" applyNumberFormat="0" applyBorder="0" applyProtection="0">
      <alignment vertical="center"/>
    </xf>
    <xf numFmtId="0" fontId="5" fillId="14" borderId="0" applyNumberFormat="0" applyBorder="0" applyProtection="0">
      <alignment vertical="center"/>
    </xf>
    <xf numFmtId="0" fontId="5" fillId="15" borderId="0" applyNumberFormat="0" applyBorder="0" applyProtection="0">
      <alignment vertical="center"/>
    </xf>
    <xf numFmtId="0" fontId="5" fillId="16" borderId="0" applyNumberFormat="0" applyBorder="0" applyProtection="0">
      <alignment vertical="center"/>
    </xf>
    <xf numFmtId="0" fontId="5" fillId="17" borderId="0" applyNumberFormat="0" applyBorder="0" applyProtection="0">
      <alignment vertical="center"/>
    </xf>
    <xf numFmtId="0" fontId="5" fillId="18" borderId="0" applyNumberFormat="0" applyBorder="0" applyProtection="0">
      <alignment vertical="center"/>
    </xf>
    <xf numFmtId="0" fontId="5" fillId="19" borderId="0" applyNumberFormat="0" applyBorder="0" applyProtection="0">
      <alignment vertical="center"/>
    </xf>
    <xf numFmtId="0" fontId="5" fillId="20" borderId="0" applyNumberFormat="0" applyBorder="0" applyProtection="0">
      <alignment vertical="center"/>
    </xf>
    <xf numFmtId="0" fontId="6" fillId="21" borderId="0" applyNumberFormat="0" applyBorder="0" applyProtection="0">
      <alignment vertical="center"/>
    </xf>
    <xf numFmtId="0" fontId="6" fillId="22" borderId="0" applyNumberFormat="0" applyBorder="0" applyProtection="0">
      <alignment vertical="center"/>
    </xf>
    <xf numFmtId="0" fontId="6" fillId="23" borderId="0" applyNumberFormat="0" applyBorder="0" applyProtection="0">
      <alignment vertical="center"/>
    </xf>
    <xf numFmtId="0" fontId="6" fillId="24" borderId="0" applyNumberFormat="0" applyBorder="0" applyProtection="0">
      <alignment vertical="center"/>
    </xf>
    <xf numFmtId="0" fontId="6" fillId="25" borderId="0" applyNumberFormat="0" applyBorder="0" applyProtection="0">
      <alignment vertical="center"/>
    </xf>
    <xf numFmtId="0" fontId="6" fillId="26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6" fillId="7" borderId="0" applyNumberFormat="0" applyBorder="0" applyProtection="0">
      <alignment vertical="center"/>
    </xf>
    <xf numFmtId="0" fontId="6" fillId="4" borderId="0" applyNumberFormat="0" applyBorder="0" applyProtection="0">
      <alignment vertical="center"/>
    </xf>
    <xf numFmtId="0" fontId="6" fillId="8" borderId="0" applyNumberFormat="0" applyBorder="0" applyProtection="0">
      <alignment vertical="center"/>
    </xf>
    <xf numFmtId="0" fontId="6" fillId="3" borderId="0" applyNumberFormat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27" borderId="6" applyNumberFormat="0" applyProtection="0">
      <alignment vertical="center"/>
    </xf>
    <xf numFmtId="0" fontId="9" fillId="28" borderId="0" applyNumberFormat="0" applyBorder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0" fillId="29" borderId="7" applyNumberFormat="0" applyProtection="0">
      <alignment vertical="center"/>
    </xf>
    <xf numFmtId="0" fontId="11" fillId="0" borderId="5" applyNumberFormat="0" applyFill="0" applyProtection="0">
      <alignment vertical="center"/>
    </xf>
    <xf numFmtId="0" fontId="12" fillId="30" borderId="0" applyNumberFormat="0" applyBorder="0" applyProtection="0">
      <alignment vertical="center"/>
    </xf>
    <xf numFmtId="0" fontId="13" fillId="31" borderId="3" applyNumberFormat="0" applyProtection="0">
      <alignment vertical="center"/>
    </xf>
    <xf numFmtId="0" fontId="14" fillId="0" borderId="0" applyNumberFormat="0" applyFill="0" applyBorder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2" applyNumberFormat="0" applyFill="0" applyProtection="0">
      <alignment vertical="center"/>
    </xf>
    <xf numFmtId="0" fontId="16" fillId="0" borderId="11" applyNumberFormat="0" applyFill="0" applyProtection="0">
      <alignment vertical="center"/>
    </xf>
    <xf numFmtId="0" fontId="17" fillId="0" borderId="12" applyNumberFormat="0" applyFill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0" borderId="8" applyNumberFormat="0" applyFill="0" applyProtection="0">
      <alignment vertical="center"/>
    </xf>
    <xf numFmtId="0" fontId="19" fillId="31" borderId="4" applyNumberFormat="0" applyProtection="0">
      <alignment vertical="center"/>
    </xf>
    <xf numFmtId="0" fontId="20" fillId="0" borderId="0" applyNumberFormat="0" applyFill="0" applyBorder="0" applyProtection="0">
      <alignment vertical="center"/>
    </xf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6" fontId="10" fillId="0" borderId="0" applyFill="0" applyBorder="0" applyAlignment="0" applyProtection="0"/>
    <xf numFmtId="0" fontId="21" fillId="32" borderId="3" applyNumberForma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24" fillId="33" borderId="0" applyNumberFormat="0" applyBorder="0" applyProtection="0">
      <alignment vertical="center"/>
    </xf>
    <xf numFmtId="0" fontId="5" fillId="0" borderId="0">
      <alignment vertical="center"/>
    </xf>
  </cellStyleXfs>
  <cellXfs count="492">
    <xf numFmtId="0" fontId="0" fillId="0" borderId="0" xfId="0">
      <alignment vertical="center"/>
    </xf>
    <xf numFmtId="0" fontId="27" fillId="0" borderId="31" xfId="0" applyFont="1" applyBorder="1" applyAlignment="1">
      <alignment horizontal="left" vertical="center" wrapText="1" readingOrder="1"/>
    </xf>
    <xf numFmtId="177" fontId="27" fillId="0" borderId="31" xfId="0" applyNumberFormat="1" applyFont="1" applyBorder="1" applyAlignment="1">
      <alignment horizontal="right" vertical="center" wrapText="1" readingOrder="1"/>
    </xf>
    <xf numFmtId="0" fontId="27" fillId="0" borderId="32" xfId="0" applyFont="1" applyFill="1" applyBorder="1" applyAlignment="1">
      <alignment horizontal="center" vertical="center" wrapText="1" readingOrder="1"/>
    </xf>
    <xf numFmtId="0" fontId="31" fillId="0" borderId="18" xfId="0" applyFont="1" applyBorder="1" applyAlignment="1">
      <alignment horizontal="left" vertical="center" wrapText="1" readingOrder="1"/>
    </xf>
    <xf numFmtId="0" fontId="31" fillId="0" borderId="20" xfId="0" applyFont="1" applyBorder="1" applyAlignment="1">
      <alignment horizontal="left" vertical="center" wrapText="1" readingOrder="1"/>
    </xf>
    <xf numFmtId="0" fontId="31" fillId="0" borderId="21" xfId="0" applyFont="1" applyBorder="1" applyAlignment="1">
      <alignment horizontal="right" vertical="center" wrapText="1" readingOrder="1"/>
    </xf>
    <xf numFmtId="0" fontId="31" fillId="0" borderId="22" xfId="0" applyFont="1" applyBorder="1" applyAlignment="1">
      <alignment horizontal="left" vertical="center" wrapText="1" readingOrder="1"/>
    </xf>
    <xf numFmtId="0" fontId="31" fillId="0" borderId="18" xfId="0" applyFont="1" applyBorder="1" applyAlignment="1">
      <alignment horizontal="left" vertical="center" shrinkToFit="1" readingOrder="1"/>
    </xf>
    <xf numFmtId="0" fontId="31" fillId="0" borderId="27" xfId="0" applyFont="1" applyBorder="1" applyAlignment="1">
      <alignment horizontal="left" vertical="center" wrapText="1" readingOrder="1"/>
    </xf>
    <xf numFmtId="0" fontId="28" fillId="0" borderId="0" xfId="0" applyFont="1">
      <alignment vertical="center"/>
    </xf>
    <xf numFmtId="0" fontId="31" fillId="0" borderId="33" xfId="0" applyFont="1" applyBorder="1" applyAlignment="1">
      <alignment horizontal="left" vertical="center" wrapText="1" readingOrder="1"/>
    </xf>
    <xf numFmtId="0" fontId="31" fillId="0" borderId="21" xfId="0" applyNumberFormat="1" applyFont="1" applyBorder="1" applyAlignment="1">
      <alignment horizontal="right" vertical="center" wrapText="1" readingOrder="1"/>
    </xf>
    <xf numFmtId="178" fontId="31" fillId="0" borderId="21" xfId="0" applyNumberFormat="1" applyFont="1" applyBorder="1" applyAlignment="1">
      <alignment horizontal="right" vertical="center" wrapText="1" readingOrder="1"/>
    </xf>
    <xf numFmtId="178" fontId="31" fillId="0" borderId="23" xfId="0" applyNumberFormat="1" applyFont="1" applyBorder="1" applyAlignment="1">
      <alignment horizontal="right" vertical="center" wrapText="1" readingOrder="1"/>
    </xf>
    <xf numFmtId="0" fontId="31" fillId="0" borderId="22" xfId="0" applyFont="1" applyBorder="1" applyAlignment="1">
      <alignment horizontal="left" vertical="center" shrinkToFit="1" readingOrder="1"/>
    </xf>
    <xf numFmtId="0" fontId="31" fillId="0" borderId="0" xfId="0" applyFont="1" applyFill="1" applyBorder="1" applyAlignment="1">
      <alignment horizontal="left" vertical="center" wrapText="1" readingOrder="1"/>
    </xf>
    <xf numFmtId="178" fontId="31" fillId="0" borderId="0" xfId="0" applyNumberFormat="1" applyFont="1" applyFill="1" applyBorder="1" applyAlignment="1">
      <alignment horizontal="right" vertical="center" wrapText="1" readingOrder="1"/>
    </xf>
    <xf numFmtId="0" fontId="31" fillId="0" borderId="22" xfId="0" applyFont="1" applyBorder="1" applyAlignment="1">
      <alignment horizontal="left" vertical="center" readingOrder="1"/>
    </xf>
    <xf numFmtId="178" fontId="31" fillId="0" borderId="23" xfId="0" applyNumberFormat="1" applyFont="1" applyBorder="1" applyAlignment="1">
      <alignment horizontal="right" vertical="center" readingOrder="1"/>
    </xf>
    <xf numFmtId="0" fontId="31" fillId="0" borderId="0" xfId="0" applyFont="1" applyFill="1" applyBorder="1" applyAlignment="1">
      <alignment horizontal="left" vertical="center" readingOrder="1"/>
    </xf>
    <xf numFmtId="178" fontId="31" fillId="0" borderId="0" xfId="0" applyNumberFormat="1" applyFont="1" applyFill="1" applyBorder="1" applyAlignment="1">
      <alignment horizontal="right" vertical="center" readingOrder="1"/>
    </xf>
    <xf numFmtId="0" fontId="31" fillId="0" borderId="27" xfId="0" applyFont="1" applyBorder="1" applyAlignment="1">
      <alignment horizontal="left" vertical="center" shrinkToFit="1" readingOrder="1"/>
    </xf>
    <xf numFmtId="0" fontId="33" fillId="0" borderId="0" xfId="1009" applyFont="1">
      <alignment vertical="center"/>
    </xf>
    <xf numFmtId="0" fontId="33" fillId="0" borderId="0" xfId="1009" applyFont="1" applyAlignment="1">
      <alignment horizontal="right" vertical="center"/>
    </xf>
    <xf numFmtId="0" fontId="33" fillId="0" borderId="0" xfId="1009" quotePrefix="1" applyFont="1" applyAlignment="1">
      <alignment horizontal="right" vertical="center"/>
    </xf>
    <xf numFmtId="0" fontId="33" fillId="0" borderId="0" xfId="1009" quotePrefix="1" applyFont="1">
      <alignment vertical="center"/>
    </xf>
    <xf numFmtId="0" fontId="34" fillId="0" borderId="0" xfId="1009" applyFont="1">
      <alignment vertical="center"/>
    </xf>
    <xf numFmtId="0" fontId="34" fillId="0" borderId="0" xfId="1009" quotePrefix="1" applyFont="1" applyAlignment="1">
      <alignment horizontal="right" vertical="center"/>
    </xf>
    <xf numFmtId="0" fontId="35" fillId="2" borderId="13" xfId="1009" applyFont="1" applyFill="1" applyBorder="1">
      <alignment vertical="center"/>
    </xf>
    <xf numFmtId="0" fontId="35" fillId="2" borderId="10" xfId="1009" applyFont="1" applyFill="1" applyBorder="1">
      <alignment vertical="center"/>
    </xf>
    <xf numFmtId="0" fontId="35" fillId="2" borderId="9" xfId="1009" applyFont="1" applyFill="1" applyBorder="1">
      <alignment vertical="center"/>
    </xf>
    <xf numFmtId="0" fontId="35" fillId="0" borderId="13" xfId="1009" applyFont="1" applyBorder="1">
      <alignment vertical="center"/>
    </xf>
    <xf numFmtId="0" fontId="35" fillId="0" borderId="10" xfId="1009" applyFont="1" applyBorder="1">
      <alignment vertical="center"/>
    </xf>
    <xf numFmtId="180" fontId="35" fillId="0" borderId="10" xfId="1009" applyNumberFormat="1" applyFont="1" applyFill="1" applyBorder="1" applyAlignment="1">
      <alignment horizontal="centerContinuous" vertical="center"/>
    </xf>
    <xf numFmtId="0" fontId="35" fillId="0" borderId="9" xfId="1009" applyFont="1" applyBorder="1">
      <alignment vertical="center"/>
    </xf>
    <xf numFmtId="0" fontId="36" fillId="0" borderId="0" xfId="1009" applyFont="1">
      <alignment vertical="center"/>
    </xf>
    <xf numFmtId="3" fontId="35" fillId="0" borderId="10" xfId="1009" applyNumberFormat="1" applyFont="1" applyBorder="1" applyAlignment="1">
      <alignment horizontal="centerContinuous" vertical="center"/>
    </xf>
    <xf numFmtId="4" fontId="37" fillId="0" borderId="10" xfId="1009" applyNumberFormat="1" applyFont="1" applyFill="1" applyBorder="1" applyAlignment="1">
      <alignment horizontal="centerContinuous" vertical="center"/>
    </xf>
    <xf numFmtId="0" fontId="35" fillId="0" borderId="0" xfId="1009" applyFont="1" applyBorder="1">
      <alignment vertical="center"/>
    </xf>
    <xf numFmtId="0" fontId="35" fillId="0" borderId="0" xfId="1009" applyFont="1">
      <alignment vertical="center"/>
    </xf>
    <xf numFmtId="4" fontId="35" fillId="0" borderId="10" xfId="1009" applyNumberFormat="1" applyFont="1" applyBorder="1" applyAlignment="1">
      <alignment horizontal="centerContinuous" vertical="center"/>
    </xf>
    <xf numFmtId="4" fontId="38" fillId="0" borderId="10" xfId="1009" applyNumberFormat="1" applyFont="1" applyBorder="1" applyAlignment="1">
      <alignment horizontal="centerContinuous" vertical="center"/>
    </xf>
    <xf numFmtId="0" fontId="36" fillId="0" borderId="0" xfId="1009" applyFont="1" applyBorder="1">
      <alignment vertical="center"/>
    </xf>
    <xf numFmtId="180" fontId="38" fillId="0" borderId="10" xfId="1009" applyNumberFormat="1" applyFont="1" applyFill="1" applyBorder="1" applyAlignment="1">
      <alignment horizontal="centerContinuous" vertical="center"/>
    </xf>
    <xf numFmtId="180" fontId="35" fillId="0" borderId="10" xfId="1009" applyNumberFormat="1" applyFont="1" applyBorder="1" applyAlignment="1">
      <alignment horizontal="centerContinuous" vertical="center"/>
    </xf>
    <xf numFmtId="4" fontId="35" fillId="0" borderId="10" xfId="1009" applyNumberFormat="1" applyFont="1" applyFill="1" applyBorder="1" applyAlignment="1">
      <alignment horizontal="centerContinuous" vertical="center"/>
    </xf>
    <xf numFmtId="0" fontId="37" fillId="0" borderId="10" xfId="1009" applyFont="1" applyFill="1" applyBorder="1">
      <alignment vertical="center"/>
    </xf>
    <xf numFmtId="0" fontId="37" fillId="0" borderId="9" xfId="1009" applyFont="1" applyFill="1" applyBorder="1">
      <alignment vertical="center"/>
    </xf>
    <xf numFmtId="0" fontId="37" fillId="0" borderId="0" xfId="1009" applyFont="1" applyFill="1">
      <alignment vertical="center"/>
    </xf>
    <xf numFmtId="0" fontId="37" fillId="0" borderId="13" xfId="1009" applyFont="1" applyFill="1" applyBorder="1">
      <alignment vertical="center"/>
    </xf>
    <xf numFmtId="0" fontId="35" fillId="0" borderId="16" xfId="1009" applyFont="1" applyBorder="1">
      <alignment vertical="center"/>
    </xf>
    <xf numFmtId="0" fontId="35" fillId="0" borderId="14" xfId="1009" applyFont="1" applyBorder="1">
      <alignment vertical="center"/>
    </xf>
    <xf numFmtId="181" fontId="38" fillId="0" borderId="10" xfId="1009" applyNumberFormat="1" applyFont="1" applyBorder="1" applyAlignment="1">
      <alignment horizontal="centerContinuous" vertical="center"/>
    </xf>
    <xf numFmtId="181" fontId="35" fillId="0" borderId="10" xfId="1009" applyNumberFormat="1" applyFont="1" applyBorder="1">
      <alignment vertical="center"/>
    </xf>
    <xf numFmtId="181" fontId="37" fillId="0" borderId="10" xfId="1009" applyNumberFormat="1" applyFont="1" applyBorder="1" applyAlignment="1">
      <alignment horizontal="centerContinuous" vertical="center"/>
    </xf>
    <xf numFmtId="4" fontId="37" fillId="0" borderId="10" xfId="1009" applyNumberFormat="1" applyFont="1" applyBorder="1" applyAlignment="1">
      <alignment horizontal="centerContinuous" vertical="center"/>
    </xf>
    <xf numFmtId="181" fontId="35" fillId="0" borderId="0" xfId="1009" applyNumberFormat="1" applyFont="1" applyBorder="1">
      <alignment vertical="center"/>
    </xf>
    <xf numFmtId="181" fontId="38" fillId="0" borderId="0" xfId="1009" applyNumberFormat="1" applyFont="1" applyBorder="1" applyAlignment="1">
      <alignment horizontal="centerContinuous" vertical="center"/>
    </xf>
    <xf numFmtId="4" fontId="38" fillId="0" borderId="0" xfId="1009" applyNumberFormat="1" applyFont="1" applyBorder="1" applyAlignment="1">
      <alignment horizontal="centerContinuous" vertical="center"/>
    </xf>
    <xf numFmtId="9" fontId="38" fillId="0" borderId="10" xfId="1009" applyNumberFormat="1" applyFont="1" applyBorder="1" applyAlignment="1">
      <alignment horizontal="centerContinuous" vertical="center"/>
    </xf>
    <xf numFmtId="0" fontId="35" fillId="0" borderId="13" xfId="0" applyFont="1" applyBorder="1">
      <alignment vertical="center"/>
    </xf>
    <xf numFmtId="0" fontId="35" fillId="0" borderId="10" xfId="0" applyFont="1" applyBorder="1">
      <alignment vertical="center"/>
    </xf>
    <xf numFmtId="3" fontId="35" fillId="0" borderId="10" xfId="0" applyNumberFormat="1" applyFont="1" applyBorder="1" applyAlignment="1">
      <alignment horizontal="centerContinuous" vertical="center"/>
    </xf>
    <xf numFmtId="0" fontId="35" fillId="0" borderId="9" xfId="0" applyFont="1" applyBorder="1">
      <alignment vertical="center"/>
    </xf>
    <xf numFmtId="0" fontId="35" fillId="0" borderId="0" xfId="1009" applyFont="1" applyAlignment="1">
      <alignment horizontal="center" vertical="center"/>
    </xf>
    <xf numFmtId="180" fontId="35" fillId="0" borderId="0" xfId="1009" applyNumberFormat="1" applyFont="1" applyBorder="1" applyAlignment="1">
      <alignment horizontal="centerContinuous" vertical="center"/>
    </xf>
    <xf numFmtId="4" fontId="35" fillId="0" borderId="0" xfId="1009" applyNumberFormat="1" applyFont="1" applyBorder="1" applyAlignment="1">
      <alignment horizontal="centerContinuous" vertical="center"/>
    </xf>
    <xf numFmtId="0" fontId="35" fillId="0" borderId="35" xfId="1009" applyFont="1" applyBorder="1">
      <alignment vertical="center"/>
    </xf>
    <xf numFmtId="0" fontId="35" fillId="0" borderId="36" xfId="1009" applyFont="1" applyBorder="1">
      <alignment vertical="center"/>
    </xf>
    <xf numFmtId="0" fontId="35" fillId="0" borderId="36" xfId="1009" applyFont="1" applyBorder="1" applyAlignment="1">
      <alignment horizontal="left" vertical="center"/>
    </xf>
    <xf numFmtId="0" fontId="35" fillId="0" borderId="36" xfId="1009" applyFont="1" applyBorder="1" applyAlignment="1">
      <alignment horizontal="centerContinuous" vertical="center"/>
    </xf>
    <xf numFmtId="0" fontId="35" fillId="0" borderId="36" xfId="1009" applyFont="1" applyBorder="1" applyAlignment="1">
      <alignment horizontal="center" vertical="center"/>
    </xf>
    <xf numFmtId="0" fontId="35" fillId="0" borderId="37" xfId="1009" applyFont="1" applyBorder="1">
      <alignment vertical="center"/>
    </xf>
    <xf numFmtId="0" fontId="35" fillId="0" borderId="38" xfId="1009" applyFont="1" applyBorder="1">
      <alignment vertical="center"/>
    </xf>
    <xf numFmtId="3" fontId="35" fillId="0" borderId="0" xfId="1009" applyNumberFormat="1" applyFont="1" applyBorder="1" applyAlignment="1">
      <alignment horizontal="centerContinuous" vertical="center"/>
    </xf>
    <xf numFmtId="0" fontId="35" fillId="0" borderId="39" xfId="1009" applyFont="1" applyBorder="1">
      <alignment vertical="center"/>
    </xf>
    <xf numFmtId="0" fontId="35" fillId="0" borderId="0" xfId="1009" applyFont="1" applyBorder="1" applyAlignment="1">
      <alignment horizontal="left" vertical="center"/>
    </xf>
    <xf numFmtId="177" fontId="39" fillId="0" borderId="0" xfId="1009" applyNumberFormat="1" applyFont="1" applyBorder="1" applyAlignment="1">
      <alignment horizontal="centerContinuous" vertical="center"/>
    </xf>
    <xf numFmtId="0" fontId="36" fillId="0" borderId="0" xfId="1009" applyFont="1" applyBorder="1" applyAlignment="1">
      <alignment horizontal="left" vertical="center"/>
    </xf>
    <xf numFmtId="177" fontId="36" fillId="0" borderId="0" xfId="1009" applyNumberFormat="1" applyFont="1" applyBorder="1" applyAlignment="1">
      <alignment horizontal="centerContinuous" vertical="center"/>
    </xf>
    <xf numFmtId="4" fontId="38" fillId="0" borderId="10" xfId="1009" applyNumberFormat="1" applyFont="1" applyFill="1" applyBorder="1" applyAlignment="1">
      <alignment horizontal="centerContinuous" vertical="center"/>
    </xf>
    <xf numFmtId="0" fontId="35" fillId="0" borderId="35" xfId="1009" applyFont="1" applyBorder="1" applyAlignment="1">
      <alignment horizontal="left" vertical="center"/>
    </xf>
    <xf numFmtId="0" fontId="35" fillId="0" borderId="37" xfId="1009" applyFont="1" applyBorder="1" applyAlignment="1">
      <alignment horizontal="centerContinuous" vertical="center"/>
    </xf>
    <xf numFmtId="0" fontId="36" fillId="0" borderId="39" xfId="1009" applyFont="1" applyBorder="1">
      <alignment vertical="center"/>
    </xf>
    <xf numFmtId="182" fontId="35" fillId="0" borderId="10" xfId="1009" applyNumberFormat="1" applyFont="1" applyBorder="1" applyAlignment="1">
      <alignment horizontal="centerContinuous" vertical="center"/>
    </xf>
    <xf numFmtId="0" fontId="36" fillId="0" borderId="38" xfId="1009" applyFont="1" applyBorder="1" applyAlignment="1">
      <alignment horizontal="left" vertical="center"/>
    </xf>
    <xf numFmtId="9" fontId="36" fillId="0" borderId="0" xfId="1009" applyNumberFormat="1" applyFont="1" applyBorder="1" applyAlignment="1">
      <alignment horizontal="centerContinuous" vertical="center"/>
    </xf>
    <xf numFmtId="0" fontId="35" fillId="0" borderId="26" xfId="1009" applyFont="1" applyBorder="1">
      <alignment vertical="center"/>
    </xf>
    <xf numFmtId="183" fontId="35" fillId="2" borderId="10" xfId="1009" applyNumberFormat="1" applyFont="1" applyFill="1" applyBorder="1">
      <alignment vertical="center"/>
    </xf>
    <xf numFmtId="0" fontId="36" fillId="0" borderId="40" xfId="1009" applyFont="1" applyBorder="1" applyAlignment="1">
      <alignment horizontal="right" vertical="center"/>
    </xf>
    <xf numFmtId="0" fontId="36" fillId="0" borderId="41" xfId="1009" applyFont="1" applyBorder="1" applyAlignment="1">
      <alignment horizontal="right" vertical="center"/>
    </xf>
    <xf numFmtId="9" fontId="36" fillId="0" borderId="41" xfId="1009" applyNumberFormat="1" applyFont="1" applyBorder="1" applyAlignment="1">
      <alignment horizontal="centerContinuous" vertical="center"/>
    </xf>
    <xf numFmtId="0" fontId="36" fillId="0" borderId="42" xfId="1009" applyFont="1" applyBorder="1">
      <alignment vertical="center"/>
    </xf>
    <xf numFmtId="0" fontId="35" fillId="0" borderId="40" xfId="1009" applyFont="1" applyBorder="1">
      <alignment vertical="center"/>
    </xf>
    <xf numFmtId="0" fontId="36" fillId="0" borderId="41" xfId="1009" applyFont="1" applyBorder="1" applyAlignment="1">
      <alignment horizontal="left" vertical="center"/>
    </xf>
    <xf numFmtId="0" fontId="35" fillId="0" borderId="41" xfId="1009" applyFont="1" applyBorder="1">
      <alignment vertical="center"/>
    </xf>
    <xf numFmtId="177" fontId="39" fillId="0" borderId="41" xfId="1009" applyNumberFormat="1" applyFont="1" applyBorder="1" applyAlignment="1">
      <alignment horizontal="centerContinuous" vertical="center"/>
    </xf>
    <xf numFmtId="0" fontId="35" fillId="0" borderId="15" xfId="1009" applyFont="1" applyBorder="1">
      <alignment vertical="center"/>
    </xf>
    <xf numFmtId="0" fontId="40" fillId="0" borderId="13" xfId="1009" applyFont="1" applyBorder="1">
      <alignment vertical="center"/>
    </xf>
    <xf numFmtId="0" fontId="35" fillId="0" borderId="0" xfId="1009" applyFont="1" applyAlignment="1">
      <alignment horizontal="right" vertical="center"/>
    </xf>
    <xf numFmtId="0" fontId="35" fillId="0" borderId="0" xfId="1009" quotePrefix="1" applyFont="1">
      <alignment vertical="center"/>
    </xf>
    <xf numFmtId="0" fontId="36" fillId="0" borderId="0" xfId="1009" applyFont="1" applyBorder="1" applyAlignment="1">
      <alignment horizontal="right" vertical="center"/>
    </xf>
    <xf numFmtId="0" fontId="35" fillId="0" borderId="0" xfId="1009" applyFont="1" applyAlignment="1">
      <alignment horizontal="left" vertical="center"/>
    </xf>
    <xf numFmtId="0" fontId="35" fillId="0" borderId="13" xfId="1009" applyFont="1" applyFill="1" applyBorder="1" applyAlignment="1">
      <alignment horizontal="centerContinuous" vertical="center"/>
    </xf>
    <xf numFmtId="0" fontId="35" fillId="0" borderId="10" xfId="1009" applyFont="1" applyFill="1" applyBorder="1" applyAlignment="1">
      <alignment horizontal="centerContinuous" vertical="center"/>
    </xf>
    <xf numFmtId="0" fontId="35" fillId="0" borderId="9" xfId="1009" applyFont="1" applyFill="1" applyBorder="1" applyAlignment="1">
      <alignment horizontal="centerContinuous" vertical="center"/>
    </xf>
    <xf numFmtId="0" fontId="36" fillId="0" borderId="40" xfId="1009" applyFont="1" applyBorder="1">
      <alignment vertical="center"/>
    </xf>
    <xf numFmtId="0" fontId="36" fillId="0" borderId="41" xfId="1009" applyFont="1" applyBorder="1">
      <alignment vertical="center"/>
    </xf>
    <xf numFmtId="177" fontId="35" fillId="2" borderId="10" xfId="1009" applyNumberFormat="1" applyFont="1" applyFill="1" applyBorder="1" applyAlignment="1">
      <alignment horizontal="centerContinuous" vertical="center"/>
    </xf>
    <xf numFmtId="0" fontId="35" fillId="2" borderId="10" xfId="1009" applyFont="1" applyFill="1" applyBorder="1" applyAlignment="1">
      <alignment horizontal="centerContinuous" vertical="center"/>
    </xf>
    <xf numFmtId="0" fontId="35" fillId="0" borderId="0" xfId="0" applyFont="1">
      <alignment vertical="center"/>
    </xf>
    <xf numFmtId="0" fontId="35" fillId="0" borderId="17" xfId="1009" applyFont="1" applyBorder="1">
      <alignment vertical="center"/>
    </xf>
    <xf numFmtId="0" fontId="35" fillId="0" borderId="0" xfId="0" applyFont="1" applyAlignment="1">
      <alignment horizontal="right" vertical="center"/>
    </xf>
    <xf numFmtId="3" fontId="35" fillId="0" borderId="0" xfId="0" applyNumberFormat="1" applyFont="1" applyBorder="1" applyAlignment="1">
      <alignment horizontal="centerContinuous" vertical="center"/>
    </xf>
    <xf numFmtId="0" fontId="35" fillId="0" borderId="0" xfId="0" applyFont="1" applyBorder="1">
      <alignment vertical="center"/>
    </xf>
    <xf numFmtId="176" fontId="35" fillId="0" borderId="0" xfId="1009" applyNumberFormat="1" applyFont="1" applyAlignment="1">
      <alignment horizontal="centerContinuous" vertical="center"/>
    </xf>
    <xf numFmtId="180" fontId="38" fillId="0" borderId="0" xfId="1009" applyNumberFormat="1" applyFont="1" applyFill="1" applyBorder="1" applyAlignment="1">
      <alignment horizontal="centerContinuous" vertical="center"/>
    </xf>
    <xf numFmtId="3" fontId="31" fillId="0" borderId="19" xfId="0" applyNumberFormat="1" applyFont="1" applyBorder="1" applyAlignment="1">
      <alignment horizontal="right" vertical="center" wrapText="1" readingOrder="1"/>
    </xf>
    <xf numFmtId="180" fontId="31" fillId="0" borderId="19" xfId="0" applyNumberFormat="1" applyFont="1" applyBorder="1" applyAlignment="1">
      <alignment horizontal="right" vertical="center" wrapText="1" readingOrder="1"/>
    </xf>
    <xf numFmtId="4" fontId="31" fillId="0" borderId="21" xfId="0" applyNumberFormat="1" applyFont="1" applyBorder="1" applyAlignment="1">
      <alignment horizontal="right" vertical="center" wrapText="1" readingOrder="1"/>
    </xf>
    <xf numFmtId="178" fontId="31" fillId="0" borderId="19" xfId="0" applyNumberFormat="1" applyFont="1" applyBorder="1" applyAlignment="1">
      <alignment horizontal="right" vertical="center" wrapText="1" readingOrder="1"/>
    </xf>
    <xf numFmtId="3" fontId="31" fillId="0" borderId="28" xfId="0" applyNumberFormat="1" applyFont="1" applyBorder="1" applyAlignment="1">
      <alignment horizontal="right" vertical="center" wrapText="1" readingOrder="1"/>
    </xf>
    <xf numFmtId="180" fontId="31" fillId="0" borderId="23" xfId="0" applyNumberFormat="1" applyFont="1" applyBorder="1" applyAlignment="1">
      <alignment horizontal="right" vertical="center" wrapText="1" readingOrder="1"/>
    </xf>
    <xf numFmtId="0" fontId="31" fillId="0" borderId="27" xfId="0" applyFont="1" applyBorder="1" applyAlignment="1">
      <alignment horizontal="left" vertical="center" readingOrder="1"/>
    </xf>
    <xf numFmtId="180" fontId="31" fillId="0" borderId="28" xfId="0" applyNumberFormat="1" applyFont="1" applyBorder="1" applyAlignment="1">
      <alignment horizontal="right" vertical="center" readingOrder="1"/>
    </xf>
    <xf numFmtId="0" fontId="31" fillId="0" borderId="31" xfId="0" applyFont="1" applyBorder="1" applyAlignment="1">
      <alignment horizontal="left" vertical="center" wrapText="1" readingOrder="1"/>
    </xf>
    <xf numFmtId="180" fontId="31" fillId="0" borderId="31" xfId="0" applyNumberFormat="1" applyFont="1" applyBorder="1" applyAlignment="1">
      <alignment horizontal="right" vertical="center" wrapText="1" readingOrder="1"/>
    </xf>
    <xf numFmtId="185" fontId="31" fillId="0" borderId="19" xfId="0" applyNumberFormat="1" applyFont="1" applyBorder="1" applyAlignment="1">
      <alignment horizontal="right" vertical="center" wrapText="1" readingOrder="1"/>
    </xf>
    <xf numFmtId="183" fontId="31" fillId="0" borderId="34" xfId="0" applyNumberFormat="1" applyFont="1" applyBorder="1" applyAlignment="1">
      <alignment horizontal="right" vertical="center" wrapText="1" readingOrder="1"/>
    </xf>
    <xf numFmtId="183" fontId="31" fillId="0" borderId="28" xfId="0" applyNumberFormat="1" applyFont="1" applyBorder="1" applyAlignment="1">
      <alignment horizontal="right" vertical="center" wrapText="1" readingOrder="1"/>
    </xf>
    <xf numFmtId="183" fontId="31" fillId="0" borderId="23" xfId="0" applyNumberFormat="1" applyFont="1" applyBorder="1" applyAlignment="1">
      <alignment horizontal="right" vertical="center" wrapText="1" readingOrder="1"/>
    </xf>
    <xf numFmtId="183" fontId="31" fillId="0" borderId="19" xfId="0" applyNumberFormat="1" applyFont="1" applyBorder="1" applyAlignment="1">
      <alignment horizontal="right" vertical="center" readingOrder="1"/>
    </xf>
    <xf numFmtId="0" fontId="31" fillId="0" borderId="0" xfId="0" applyFont="1" applyFill="1" applyBorder="1" applyAlignment="1">
      <alignment horizontal="left" vertical="center" shrinkToFit="1" readingOrder="1"/>
    </xf>
    <xf numFmtId="185" fontId="26" fillId="0" borderId="0" xfId="0" applyNumberFormat="1" applyFont="1" applyFill="1" applyBorder="1" applyAlignment="1">
      <alignment horizontal="center" vertical="center" shrinkToFit="1" readingOrder="1"/>
    </xf>
    <xf numFmtId="0" fontId="31" fillId="0" borderId="28" xfId="0" applyFont="1" applyBorder="1" applyAlignment="1">
      <alignment horizontal="right" vertical="center" wrapText="1" readingOrder="1"/>
    </xf>
    <xf numFmtId="178" fontId="31" fillId="0" borderId="31" xfId="0" applyNumberFormat="1" applyFont="1" applyBorder="1" applyAlignment="1">
      <alignment horizontal="right" vertical="center" wrapText="1" readingOrder="1"/>
    </xf>
    <xf numFmtId="0" fontId="31" fillId="0" borderId="0" xfId="0" applyFont="1" applyBorder="1" applyAlignment="1">
      <alignment horizontal="left" vertical="center" wrapText="1" readingOrder="1"/>
    </xf>
    <xf numFmtId="178" fontId="31" fillId="0" borderId="0" xfId="0" applyNumberFormat="1" applyFont="1" applyBorder="1" applyAlignment="1">
      <alignment horizontal="right" vertical="center" wrapText="1" readingOrder="1"/>
    </xf>
    <xf numFmtId="180" fontId="31" fillId="0" borderId="21" xfId="0" applyNumberFormat="1" applyFont="1" applyBorder="1" applyAlignment="1">
      <alignment horizontal="right" vertical="center" wrapText="1" readingOrder="1"/>
    </xf>
    <xf numFmtId="0" fontId="27" fillId="0" borderId="0" xfId="0" applyFont="1" applyBorder="1" applyAlignment="1">
      <alignment horizontal="left" vertical="center" wrapText="1" readingOrder="1"/>
    </xf>
    <xf numFmtId="177" fontId="27" fillId="0" borderId="0" xfId="0" applyNumberFormat="1" applyFont="1" applyBorder="1" applyAlignment="1">
      <alignment horizontal="right" vertical="center" wrapText="1" readingOrder="1"/>
    </xf>
    <xf numFmtId="0" fontId="0" fillId="0" borderId="0" xfId="0" applyBorder="1">
      <alignment vertical="center"/>
    </xf>
    <xf numFmtId="183" fontId="31" fillId="0" borderId="0" xfId="0" applyNumberFormat="1" applyFont="1" applyFill="1" applyBorder="1" applyAlignment="1">
      <alignment horizontal="right" vertical="center" readingOrder="1"/>
    </xf>
    <xf numFmtId="180" fontId="31" fillId="0" borderId="0" xfId="0" applyNumberFormat="1" applyFont="1" applyFill="1" applyBorder="1" applyAlignment="1">
      <alignment horizontal="right" vertical="center" readingOrder="1"/>
    </xf>
    <xf numFmtId="180" fontId="31" fillId="0" borderId="0" xfId="0" applyNumberFormat="1" applyFont="1" applyBorder="1" applyAlignment="1">
      <alignment horizontal="right" vertical="center" wrapText="1" readingOrder="1"/>
    </xf>
    <xf numFmtId="4" fontId="31" fillId="0" borderId="0" xfId="0" applyNumberFormat="1" applyFont="1" applyFill="1" applyBorder="1" applyAlignment="1">
      <alignment horizontal="right" vertical="center" wrapText="1" readingOrder="1"/>
    </xf>
    <xf numFmtId="0" fontId="0" fillId="0" borderId="0" xfId="0" applyFill="1" applyBorder="1">
      <alignment vertical="center"/>
    </xf>
    <xf numFmtId="180" fontId="31" fillId="0" borderId="0" xfId="0" applyNumberFormat="1" applyFont="1" applyFill="1" applyBorder="1" applyAlignment="1">
      <alignment horizontal="right" vertical="center" wrapText="1" readingOrder="1"/>
    </xf>
    <xf numFmtId="3" fontId="31" fillId="0" borderId="31" xfId="0" applyNumberFormat="1" applyFont="1" applyBorder="1" applyAlignment="1">
      <alignment horizontal="right" vertical="center" wrapText="1" readingOrder="1"/>
    </xf>
    <xf numFmtId="0" fontId="0" fillId="0" borderId="0" xfId="0" applyAlignment="1">
      <alignment vertical="center"/>
    </xf>
    <xf numFmtId="0" fontId="31" fillId="0" borderId="23" xfId="0" applyFont="1" applyBorder="1" applyAlignment="1">
      <alignment horizontal="right" vertical="center" wrapText="1" readingOrder="1"/>
    </xf>
    <xf numFmtId="184" fontId="31" fillId="0" borderId="34" xfId="0" applyNumberFormat="1" applyFont="1" applyBorder="1" applyAlignment="1">
      <alignment horizontal="right" vertical="center" wrapText="1" readingOrder="1"/>
    </xf>
    <xf numFmtId="0" fontId="31" fillId="0" borderId="43" xfId="0" applyFont="1" applyBorder="1" applyAlignment="1">
      <alignment horizontal="left" vertical="center" wrapText="1" readingOrder="1"/>
    </xf>
    <xf numFmtId="184" fontId="31" fillId="0" borderId="44" xfId="0" applyNumberFormat="1" applyFont="1" applyBorder="1" applyAlignment="1">
      <alignment horizontal="right" vertical="center" wrapText="1" readingOrder="1"/>
    </xf>
    <xf numFmtId="183" fontId="31" fillId="0" borderId="31" xfId="0" applyNumberFormat="1" applyFont="1" applyBorder="1" applyAlignment="1">
      <alignment horizontal="right" vertical="center" wrapText="1" readingOrder="1"/>
    </xf>
    <xf numFmtId="181" fontId="35" fillId="0" borderId="10" xfId="1009" applyNumberFormat="1" applyFont="1" applyBorder="1" applyAlignment="1">
      <alignment horizontal="centerContinuous" vertical="center"/>
    </xf>
    <xf numFmtId="180" fontId="38" fillId="0" borderId="10" xfId="1009" applyNumberFormat="1" applyFont="1" applyBorder="1" applyAlignment="1">
      <alignment horizontal="centerContinuous" vertical="center"/>
    </xf>
    <xf numFmtId="179" fontId="35" fillId="0" borderId="10" xfId="1009" applyNumberFormat="1" applyFont="1" applyBorder="1" applyAlignment="1">
      <alignment horizontal="centerContinuous" vertical="center"/>
    </xf>
    <xf numFmtId="177" fontId="41" fillId="0" borderId="0" xfId="1009" applyNumberFormat="1" applyFont="1" applyBorder="1" applyAlignment="1">
      <alignment horizontal="centerContinuous" vertical="center"/>
    </xf>
    <xf numFmtId="177" fontId="41" fillId="0" borderId="41" xfId="1009" applyNumberFormat="1" applyFont="1" applyBorder="1" applyAlignment="1">
      <alignment horizontal="centerContinuous" vertical="center"/>
    </xf>
    <xf numFmtId="4" fontId="42" fillId="0" borderId="10" xfId="1009" applyNumberFormat="1" applyFont="1" applyFill="1" applyBorder="1" applyAlignment="1">
      <alignment horizontal="centerContinuous" vertical="center"/>
    </xf>
    <xf numFmtId="9" fontId="42" fillId="0" borderId="10" xfId="1009" applyNumberFormat="1" applyFont="1" applyBorder="1" applyAlignment="1">
      <alignment horizontal="centerContinuous" vertical="center"/>
    </xf>
    <xf numFmtId="182" fontId="42" fillId="0" borderId="10" xfId="1009" applyNumberFormat="1" applyFont="1" applyBorder="1" applyAlignment="1">
      <alignment horizontal="centerContinuous" vertical="center"/>
    </xf>
    <xf numFmtId="9" fontId="42" fillId="0" borderId="10" xfId="0" applyNumberFormat="1" applyFont="1" applyBorder="1" applyAlignment="1">
      <alignment horizontal="centerContinuous" vertical="center"/>
    </xf>
    <xf numFmtId="3" fontId="38" fillId="0" borderId="10" xfId="1009" applyNumberFormat="1" applyFont="1" applyBorder="1" applyAlignment="1">
      <alignment horizontal="centerContinuous" vertical="center"/>
    </xf>
    <xf numFmtId="180" fontId="38" fillId="0" borderId="0" xfId="1009" applyNumberFormat="1" applyFont="1" applyBorder="1" applyAlignment="1">
      <alignment horizontal="centerContinuous" vertical="center"/>
    </xf>
    <xf numFmtId="0" fontId="38" fillId="0" borderId="0" xfId="1009" applyFont="1">
      <alignment vertical="center"/>
    </xf>
    <xf numFmtId="0" fontId="42" fillId="0" borderId="0" xfId="1009" applyFont="1">
      <alignment vertical="center"/>
    </xf>
    <xf numFmtId="3" fontId="38" fillId="0" borderId="0" xfId="1009" applyNumberFormat="1" applyFont="1" applyBorder="1" applyAlignment="1">
      <alignment horizontal="centerContinuous" vertical="center"/>
    </xf>
    <xf numFmtId="0" fontId="37" fillId="0" borderId="0" xfId="1009" applyFont="1">
      <alignment vertical="center"/>
    </xf>
    <xf numFmtId="0" fontId="31" fillId="0" borderId="0" xfId="0" applyFont="1" applyBorder="1" applyAlignment="1">
      <alignment vertical="center" readingOrder="1"/>
    </xf>
    <xf numFmtId="0" fontId="35" fillId="0" borderId="0" xfId="1009" applyFont="1" applyBorder="1" applyAlignment="1">
      <alignment vertical="center"/>
    </xf>
    <xf numFmtId="0" fontId="5" fillId="0" borderId="0" xfId="1009" applyFont="1">
      <alignment vertical="center"/>
    </xf>
    <xf numFmtId="0" fontId="36" fillId="0" borderId="0" xfId="1009" quotePrefix="1" applyFont="1">
      <alignment vertical="center"/>
    </xf>
    <xf numFmtId="0" fontId="34" fillId="0" borderId="0" xfId="1009" applyFont="1" applyBorder="1">
      <alignment vertical="center"/>
    </xf>
    <xf numFmtId="0" fontId="34" fillId="0" borderId="0" xfId="1009" applyFont="1" applyAlignment="1">
      <alignment horizontal="right" vertical="center"/>
    </xf>
    <xf numFmtId="0" fontId="36" fillId="0" borderId="0" xfId="1009" applyFont="1" applyAlignment="1">
      <alignment horizontal="right" vertical="center"/>
    </xf>
    <xf numFmtId="0" fontId="35" fillId="0" borderId="0" xfId="1009" applyFont="1" applyBorder="1" applyAlignment="1">
      <alignment horizontal="right" vertical="center"/>
    </xf>
    <xf numFmtId="4" fontId="38" fillId="0" borderId="0" xfId="1009" applyNumberFormat="1" applyFont="1" applyBorder="1" applyAlignment="1">
      <alignment horizontal="right" vertical="center"/>
    </xf>
    <xf numFmtId="186" fontId="38" fillId="0" borderId="0" xfId="0" applyNumberFormat="1" applyFont="1" applyBorder="1" applyAlignment="1">
      <alignment horizontal="right" vertical="center"/>
    </xf>
    <xf numFmtId="187" fontId="37" fillId="0" borderId="0" xfId="1009" applyNumberFormat="1" applyFont="1" applyBorder="1" applyAlignment="1">
      <alignment horizontal="right" vertical="center"/>
    </xf>
    <xf numFmtId="180" fontId="38" fillId="0" borderId="0" xfId="1009" applyNumberFormat="1" applyFont="1" applyBorder="1" applyAlignment="1">
      <alignment vertical="center"/>
    </xf>
    <xf numFmtId="4" fontId="38" fillId="0" borderId="0" xfId="1009" applyNumberFormat="1" applyFont="1" applyBorder="1" applyAlignment="1">
      <alignment vertical="center"/>
    </xf>
    <xf numFmtId="0" fontId="35" fillId="0" borderId="0" xfId="1009" applyFont="1" applyAlignment="1">
      <alignment vertical="center"/>
    </xf>
    <xf numFmtId="0" fontId="31" fillId="0" borderId="0" xfId="0" applyFont="1" applyBorder="1" applyAlignment="1">
      <alignment vertical="center"/>
    </xf>
    <xf numFmtId="4" fontId="35" fillId="0" borderId="0" xfId="1009" applyNumberFormat="1" applyFont="1" applyBorder="1" applyAlignment="1">
      <alignment vertical="center"/>
    </xf>
    <xf numFmtId="3" fontId="38" fillId="0" borderId="0" xfId="1009" applyNumberFormat="1" applyFont="1" applyBorder="1" applyAlignment="1">
      <alignment vertical="center"/>
    </xf>
    <xf numFmtId="0" fontId="36" fillId="0" borderId="0" xfId="1009" applyFont="1" applyAlignment="1">
      <alignment horizontal="left" vertical="center"/>
    </xf>
    <xf numFmtId="180" fontId="42" fillId="0" borderId="0" xfId="1009" applyNumberFormat="1" applyFont="1" applyFill="1" applyBorder="1" applyAlignment="1">
      <alignment vertical="center"/>
    </xf>
    <xf numFmtId="180" fontId="38" fillId="0" borderId="0" xfId="1009" applyNumberFormat="1" applyFont="1" applyFill="1" applyBorder="1" applyAlignment="1">
      <alignment vertical="center"/>
    </xf>
    <xf numFmtId="0" fontId="45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wrapText="1" readingOrder="1"/>
    </xf>
    <xf numFmtId="176" fontId="5" fillId="0" borderId="14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readingOrder="1"/>
    </xf>
    <xf numFmtId="0" fontId="25" fillId="0" borderId="0" xfId="0" applyFont="1" applyFill="1" applyBorder="1" applyAlignment="1">
      <alignment horizontal="center" vertical="center" readingOrder="1"/>
    </xf>
    <xf numFmtId="189" fontId="26" fillId="0" borderId="0" xfId="0" applyNumberFormat="1" applyFont="1" applyFill="1" applyBorder="1" applyAlignment="1">
      <alignment horizontal="center" vertical="center" readingOrder="1"/>
    </xf>
    <xf numFmtId="0" fontId="31" fillId="0" borderId="0" xfId="0" applyFont="1" applyFill="1" applyBorder="1" applyAlignment="1">
      <alignment horizontal="right" vertical="center" wrapText="1" readingOrder="1"/>
    </xf>
    <xf numFmtId="192" fontId="31" fillId="0" borderId="0" xfId="0" applyNumberFormat="1" applyFont="1" applyFill="1" applyBorder="1" applyAlignment="1">
      <alignment horizontal="right" vertical="center" readingOrder="1"/>
    </xf>
    <xf numFmtId="183" fontId="31" fillId="0" borderId="19" xfId="0" applyNumberFormat="1" applyFont="1" applyBorder="1" applyAlignment="1">
      <alignment horizontal="right" vertical="center" wrapText="1" readingOrder="1"/>
    </xf>
    <xf numFmtId="0" fontId="31" fillId="0" borderId="0" xfId="0" applyNumberFormat="1" applyFont="1" applyFill="1" applyBorder="1" applyAlignment="1">
      <alignment horizontal="right" vertical="center" readingOrder="1"/>
    </xf>
    <xf numFmtId="180" fontId="31" fillId="0" borderId="28" xfId="0" applyNumberFormat="1" applyFont="1" applyBorder="1" applyAlignment="1">
      <alignment horizontal="right" vertical="center" wrapText="1" readingOrder="1"/>
    </xf>
    <xf numFmtId="0" fontId="31" fillId="0" borderId="0" xfId="0" applyNumberFormat="1" applyFont="1" applyFill="1" applyBorder="1" applyAlignment="1">
      <alignment horizontal="right" vertical="center" wrapText="1" readingOrder="1"/>
    </xf>
    <xf numFmtId="9" fontId="38" fillId="0" borderId="10" xfId="0" applyNumberFormat="1" applyFont="1" applyBorder="1" applyAlignment="1">
      <alignment horizontal="centerContinuous" vertical="center"/>
    </xf>
    <xf numFmtId="184" fontId="35" fillId="0" borderId="10" xfId="1009" applyNumberFormat="1" applyFont="1" applyBorder="1" applyAlignment="1">
      <alignment horizontal="centerContinuous" vertical="center"/>
    </xf>
    <xf numFmtId="0" fontId="35" fillId="0" borderId="0" xfId="1009" applyFont="1" applyFill="1" applyBorder="1">
      <alignment vertical="center"/>
    </xf>
    <xf numFmtId="180" fontId="35" fillId="0" borderId="0" xfId="1009" applyNumberFormat="1" applyFont="1" applyFill="1" applyBorder="1" applyAlignment="1">
      <alignment horizontal="centerContinuous" vertical="center"/>
    </xf>
    <xf numFmtId="3" fontId="35" fillId="0" borderId="0" xfId="1009" applyNumberFormat="1" applyFont="1" applyFill="1" applyBorder="1" applyAlignment="1">
      <alignment horizontal="centerContinuous" vertical="center"/>
    </xf>
    <xf numFmtId="4" fontId="35" fillId="0" borderId="0" xfId="1009" applyNumberFormat="1" applyFont="1" applyFill="1" applyBorder="1" applyAlignment="1">
      <alignment horizontal="centerContinuous" vertical="center"/>
    </xf>
    <xf numFmtId="0" fontId="35" fillId="0" borderId="0" xfId="0" applyFont="1" applyAlignment="1">
      <alignment horizontal="left" vertical="center"/>
    </xf>
    <xf numFmtId="0" fontId="31" fillId="0" borderId="51" xfId="0" applyFont="1" applyBorder="1" applyAlignment="1">
      <alignment horizontal="left" vertical="center" shrinkToFit="1" readingOrder="1"/>
    </xf>
    <xf numFmtId="3" fontId="31" fillId="0" borderId="52" xfId="0" applyNumberFormat="1" applyFont="1" applyBorder="1" applyAlignment="1">
      <alignment horizontal="right" vertical="center" wrapText="1" readingOrder="1"/>
    </xf>
    <xf numFmtId="3" fontId="31" fillId="0" borderId="23" xfId="0" applyNumberFormat="1" applyFont="1" applyBorder="1" applyAlignment="1">
      <alignment horizontal="right" vertical="center" wrapText="1" readingOrder="1"/>
    </xf>
    <xf numFmtId="0" fontId="0" fillId="0" borderId="31" xfId="0" applyBorder="1">
      <alignment vertical="center"/>
    </xf>
    <xf numFmtId="185" fontId="5" fillId="0" borderId="14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43" fillId="0" borderId="46" xfId="0" applyNumberFormat="1" applyFont="1" applyBorder="1" applyAlignment="1">
      <alignment horizontal="right" vertical="center"/>
    </xf>
    <xf numFmtId="0" fontId="43" fillId="0" borderId="13" xfId="0" applyFont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right" vertical="center" wrapText="1" readingOrder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3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90" fontId="36" fillId="35" borderId="1" xfId="1" applyNumberFormat="1" applyFont="1" applyFill="1" applyBorder="1"/>
    <xf numFmtId="0" fontId="5" fillId="0" borderId="0" xfId="0" applyFont="1" applyAlignment="1">
      <alignment horizontal="left"/>
    </xf>
    <xf numFmtId="0" fontId="5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6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right" vertical="center"/>
    </xf>
    <xf numFmtId="0" fontId="5" fillId="0" borderId="4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7" xfId="0" applyFont="1" applyBorder="1" applyAlignment="1">
      <alignment vertical="center"/>
    </xf>
    <xf numFmtId="176" fontId="5" fillId="0" borderId="46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176" fontId="5" fillId="0" borderId="46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47" xfId="0" quotePrefix="1" applyFont="1" applyBorder="1" applyAlignment="1">
      <alignment vertical="center"/>
    </xf>
    <xf numFmtId="184" fontId="5" fillId="0" borderId="1" xfId="0" applyNumberFormat="1" applyFont="1" applyBorder="1" applyAlignment="1">
      <alignment horizontal="right" vertical="center"/>
    </xf>
    <xf numFmtId="184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184" fontId="43" fillId="0" borderId="46" xfId="0" applyNumberFormat="1" applyFont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3" fillId="0" borderId="14" xfId="576" applyFont="1" applyBorder="1" applyAlignment="1">
      <alignment vertical="center"/>
    </xf>
    <xf numFmtId="0" fontId="43" fillId="0" borderId="26" xfId="576" applyFont="1" applyBorder="1" applyAlignment="1">
      <alignment vertical="center"/>
    </xf>
    <xf numFmtId="0" fontId="43" fillId="0" borderId="0" xfId="576" applyFont="1" applyBorder="1" applyAlignment="1">
      <alignment vertical="center"/>
    </xf>
    <xf numFmtId="0" fontId="43" fillId="0" borderId="17" xfId="576" applyFont="1" applyBorder="1" applyAlignment="1">
      <alignment vertical="center"/>
    </xf>
    <xf numFmtId="0" fontId="43" fillId="0" borderId="26" xfId="576" applyFont="1" applyBorder="1" applyAlignment="1">
      <alignment horizontal="center" vertical="center"/>
    </xf>
    <xf numFmtId="0" fontId="43" fillId="0" borderId="15" xfId="576" applyFont="1" applyBorder="1" applyAlignment="1">
      <alignment vertical="center"/>
    </xf>
    <xf numFmtId="0" fontId="43" fillId="0" borderId="13" xfId="576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3" fillId="0" borderId="48" xfId="576" quotePrefix="1" applyFont="1" applyBorder="1" applyAlignment="1">
      <alignment vertical="center"/>
    </xf>
    <xf numFmtId="0" fontId="43" fillId="0" borderId="13" xfId="576" quotePrefix="1" applyFont="1" applyBorder="1" applyAlignment="1">
      <alignment vertical="center"/>
    </xf>
    <xf numFmtId="182" fontId="46" fillId="0" borderId="13" xfId="576" applyNumberFormat="1" applyFont="1" applyBorder="1" applyAlignment="1">
      <alignment vertical="center"/>
    </xf>
    <xf numFmtId="0" fontId="46" fillId="0" borderId="13" xfId="576" applyNumberFormat="1" applyFont="1" applyBorder="1" applyAlignment="1">
      <alignment vertical="center"/>
    </xf>
    <xf numFmtId="193" fontId="46" fillId="0" borderId="13" xfId="576" applyNumberFormat="1" applyFont="1" applyBorder="1" applyAlignment="1">
      <alignment vertical="center"/>
    </xf>
    <xf numFmtId="0" fontId="43" fillId="0" borderId="47" xfId="576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194" fontId="43" fillId="0" borderId="1" xfId="576" quotePrefix="1" applyNumberFormat="1" applyFont="1" applyBorder="1" applyAlignment="1">
      <alignment vertical="center"/>
    </xf>
    <xf numFmtId="194" fontId="43" fillId="0" borderId="1" xfId="576" applyNumberFormat="1" applyFont="1" applyBorder="1" applyAlignment="1">
      <alignment vertical="center"/>
    </xf>
    <xf numFmtId="188" fontId="46" fillId="0" borderId="13" xfId="576" applyNumberFormat="1" applyFont="1" applyBorder="1" applyAlignment="1">
      <alignment vertical="center"/>
    </xf>
    <xf numFmtId="193" fontId="43" fillId="0" borderId="9" xfId="576" applyNumberFormat="1" applyFont="1" applyBorder="1" applyAlignment="1">
      <alignment vertical="center"/>
    </xf>
    <xf numFmtId="193" fontId="43" fillId="0" borderId="1" xfId="576" applyNumberFormat="1" applyFont="1" applyBorder="1" applyAlignment="1">
      <alignment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76" fontId="49" fillId="0" borderId="1" xfId="0" applyNumberFormat="1" applyFont="1" applyBorder="1">
      <alignment vertical="center"/>
    </xf>
    <xf numFmtId="184" fontId="5" fillId="0" borderId="14" xfId="0" applyNumberFormat="1" applyFont="1" applyBorder="1" applyAlignment="1">
      <alignment horizontal="center" vertical="center"/>
    </xf>
    <xf numFmtId="184" fontId="5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0" fontId="43" fillId="0" borderId="13" xfId="0" applyFont="1" applyFill="1" applyBorder="1" applyAlignment="1">
      <alignment horizontal="left" vertical="center"/>
    </xf>
    <xf numFmtId="0" fontId="43" fillId="0" borderId="9" xfId="576" applyFont="1" applyBorder="1" applyAlignment="1">
      <alignment vertical="center"/>
    </xf>
    <xf numFmtId="0" fontId="43" fillId="0" borderId="49" xfId="576" applyFont="1" applyBorder="1" applyAlignment="1">
      <alignment vertical="center"/>
    </xf>
    <xf numFmtId="0" fontId="43" fillId="0" borderId="1" xfId="576" applyFont="1" applyBorder="1" applyAlignment="1">
      <alignment horizontal="center" vertical="center"/>
    </xf>
    <xf numFmtId="0" fontId="43" fillId="0" borderId="48" xfId="576" quotePrefix="1" applyFont="1" applyBorder="1" applyAlignment="1">
      <alignment horizontal="center" vertical="center"/>
    </xf>
    <xf numFmtId="0" fontId="43" fillId="0" borderId="46" xfId="576" applyFont="1" applyBorder="1" applyAlignment="1">
      <alignment horizontal="center" vertical="center"/>
    </xf>
    <xf numFmtId="0" fontId="43" fillId="0" borderId="13" xfId="576" quotePrefix="1" applyFont="1" applyBorder="1" applyAlignment="1">
      <alignment horizontal="center" vertical="center"/>
    </xf>
    <xf numFmtId="0" fontId="43" fillId="0" borderId="1" xfId="576" quotePrefix="1" applyFont="1" applyBorder="1" applyAlignment="1">
      <alignment horizontal="center" vertical="center"/>
    </xf>
    <xf numFmtId="184" fontId="46" fillId="0" borderId="13" xfId="576" applyNumberFormat="1" applyFont="1" applyBorder="1" applyAlignment="1">
      <alignment vertical="center"/>
    </xf>
    <xf numFmtId="176" fontId="43" fillId="0" borderId="1" xfId="576" quotePrefix="1" applyNumberFormat="1" applyFont="1" applyBorder="1" applyAlignment="1">
      <alignment vertical="center"/>
    </xf>
    <xf numFmtId="0" fontId="49" fillId="0" borderId="0" xfId="0" applyFont="1">
      <alignment vertical="center"/>
    </xf>
    <xf numFmtId="0" fontId="53" fillId="0" borderId="0" xfId="0" applyFont="1" applyAlignment="1">
      <alignment horizontal="left" vertical="center" readingOrder="1"/>
    </xf>
    <xf numFmtId="0" fontId="49" fillId="0" borderId="0" xfId="0" applyFont="1" applyAlignment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49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center"/>
    </xf>
    <xf numFmtId="0" fontId="54" fillId="0" borderId="0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 shrinkToFit="1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5" fillId="0" borderId="0" xfId="0" applyFont="1">
      <alignment vertical="center"/>
    </xf>
    <xf numFmtId="9" fontId="56" fillId="0" borderId="0" xfId="0" applyNumberFormat="1" applyFont="1" applyAlignment="1">
      <alignment horizontal="center" vertical="center"/>
    </xf>
    <xf numFmtId="9" fontId="55" fillId="0" borderId="0" xfId="0" applyNumberFormat="1" applyFont="1" applyAlignment="1">
      <alignment horizontal="center" vertical="center"/>
    </xf>
    <xf numFmtId="3" fontId="49" fillId="0" borderId="0" xfId="0" applyNumberFormat="1" applyFont="1">
      <alignment vertical="center"/>
    </xf>
    <xf numFmtId="185" fontId="49" fillId="0" borderId="0" xfId="0" applyNumberFormat="1" applyFont="1" applyAlignment="1">
      <alignment horizontal="center" vertical="center"/>
    </xf>
    <xf numFmtId="187" fontId="49" fillId="0" borderId="0" xfId="0" applyNumberFormat="1" applyFont="1">
      <alignment vertical="center"/>
    </xf>
    <xf numFmtId="194" fontId="49" fillId="0" borderId="0" xfId="0" applyNumberFormat="1" applyFont="1" applyAlignment="1">
      <alignment horizontal="center" vertical="center"/>
    </xf>
    <xf numFmtId="0" fontId="56" fillId="0" borderId="0" xfId="0" applyFont="1" applyAlignment="1">
      <alignment vertical="center" wrapText="1"/>
    </xf>
    <xf numFmtId="184" fontId="5" fillId="0" borderId="0" xfId="0" applyNumberFormat="1" applyFont="1" applyFill="1" applyBorder="1">
      <alignment vertical="center"/>
    </xf>
    <xf numFmtId="176" fontId="5" fillId="0" borderId="0" xfId="624" applyNumberFormat="1" applyFont="1">
      <alignment vertical="center"/>
    </xf>
    <xf numFmtId="185" fontId="49" fillId="0" borderId="0" xfId="0" applyNumberFormat="1" applyFont="1">
      <alignment vertical="center"/>
    </xf>
    <xf numFmtId="186" fontId="49" fillId="0" borderId="0" xfId="0" applyNumberFormat="1" applyFont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187" fontId="5" fillId="0" borderId="46" xfId="0" applyNumberFormat="1" applyFont="1" applyBorder="1" applyAlignment="1">
      <alignment horizontal="right" vertical="center"/>
    </xf>
    <xf numFmtId="187" fontId="5" fillId="0" borderId="1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9" fillId="0" borderId="0" xfId="0" quotePrefix="1" applyFont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187" fontId="5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191" fontId="43" fillId="35" borderId="1" xfId="3" applyNumberFormat="1" applyFont="1" applyFill="1" applyBorder="1" applyAlignment="1">
      <alignment horizontal="center" vertical="center"/>
    </xf>
    <xf numFmtId="191" fontId="43" fillId="0" borderId="1" xfId="3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47" fillId="37" borderId="9" xfId="0" applyFont="1" applyFill="1" applyBorder="1" applyAlignment="1">
      <alignment horizontal="center" vertical="center"/>
    </xf>
    <xf numFmtId="0" fontId="57" fillId="37" borderId="9" xfId="0" applyFont="1" applyFill="1" applyBorder="1" applyAlignment="1">
      <alignment horizontal="center" vertical="center"/>
    </xf>
    <xf numFmtId="0" fontId="5" fillId="37" borderId="47" xfId="0" applyFont="1" applyFill="1" applyBorder="1" applyAlignment="1">
      <alignment horizontal="center" vertical="center"/>
    </xf>
    <xf numFmtId="0" fontId="5" fillId="37" borderId="14" xfId="0" applyFont="1" applyFill="1" applyBorder="1" applyAlignment="1">
      <alignment horizontal="center" vertical="center"/>
    </xf>
    <xf numFmtId="184" fontId="36" fillId="0" borderId="0" xfId="1009" applyNumberFormat="1" applyFont="1">
      <alignment vertical="center"/>
    </xf>
    <xf numFmtId="0" fontId="48" fillId="0" borderId="0" xfId="0" applyFont="1" applyFill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58" fillId="0" borderId="0" xfId="0" applyFont="1">
      <alignment vertical="center"/>
    </xf>
    <xf numFmtId="184" fontId="36" fillId="0" borderId="1" xfId="1009" applyNumberFormat="1" applyFont="1" applyBorder="1">
      <alignment vertical="center"/>
    </xf>
    <xf numFmtId="0" fontId="36" fillId="0" borderId="0" xfId="0" applyFont="1" applyBorder="1" applyAlignment="1">
      <alignment horizontal="left"/>
    </xf>
    <xf numFmtId="0" fontId="36" fillId="0" borderId="0" xfId="0" applyFont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36" fillId="0" borderId="0" xfId="1009" applyFont="1" applyBorder="1" applyAlignment="1">
      <alignment vertical="center"/>
    </xf>
    <xf numFmtId="4" fontId="46" fillId="0" borderId="1" xfId="1009" applyNumberFormat="1" applyFont="1" applyFill="1" applyBorder="1" applyAlignment="1">
      <alignment vertical="center"/>
    </xf>
    <xf numFmtId="0" fontId="36" fillId="0" borderId="0" xfId="1009" applyFont="1" applyFill="1" applyAlignment="1">
      <alignment vertical="center"/>
    </xf>
    <xf numFmtId="0" fontId="46" fillId="0" borderId="0" xfId="1009" applyFont="1" applyFill="1" applyAlignment="1">
      <alignment vertical="center"/>
    </xf>
    <xf numFmtId="0" fontId="46" fillId="0" borderId="0" xfId="1009" applyFont="1" applyFill="1" applyBorder="1" applyAlignment="1">
      <alignment vertical="center"/>
    </xf>
    <xf numFmtId="180" fontId="46" fillId="0" borderId="1" xfId="1009" applyNumberFormat="1" applyFont="1" applyFill="1" applyBorder="1" applyAlignment="1">
      <alignment vertical="center"/>
    </xf>
    <xf numFmtId="181" fontId="46" fillId="0" borderId="1" xfId="1009" applyNumberFormat="1" applyFont="1" applyFill="1" applyBorder="1" applyAlignment="1">
      <alignment vertical="center"/>
    </xf>
    <xf numFmtId="4" fontId="39" fillId="0" borderId="0" xfId="1009" applyNumberFormat="1" applyFont="1" applyBorder="1" applyAlignment="1">
      <alignment horizontal="centerContinuous" vertical="center"/>
    </xf>
    <xf numFmtId="0" fontId="36" fillId="0" borderId="0" xfId="0" applyFont="1" applyBorder="1">
      <alignment vertical="center"/>
    </xf>
    <xf numFmtId="0" fontId="36" fillId="0" borderId="0" xfId="1009" applyFont="1" applyAlignment="1">
      <alignment vertical="center"/>
    </xf>
    <xf numFmtId="4" fontId="36" fillId="0" borderId="0" xfId="1009" applyNumberFormat="1" applyFont="1" applyBorder="1" applyAlignment="1">
      <alignment vertical="center"/>
    </xf>
    <xf numFmtId="3" fontId="36" fillId="0" borderId="0" xfId="1009" applyNumberFormat="1" applyFont="1" applyFill="1" applyBorder="1" applyAlignment="1">
      <alignment vertical="center"/>
    </xf>
    <xf numFmtId="181" fontId="36" fillId="0" borderId="1" xfId="1009" applyNumberFormat="1" applyFont="1" applyFill="1" applyBorder="1" applyAlignment="1">
      <alignment horizontal="right" vertical="center"/>
    </xf>
    <xf numFmtId="0" fontId="36" fillId="0" borderId="0" xfId="1009" applyFont="1" applyFill="1" applyAlignment="1">
      <alignment horizontal="right" vertical="center"/>
    </xf>
    <xf numFmtId="186" fontId="36" fillId="0" borderId="1" xfId="1009" applyNumberFormat="1" applyFont="1" applyFill="1" applyBorder="1" applyAlignment="1">
      <alignment horizontal="right" vertical="center"/>
    </xf>
    <xf numFmtId="186" fontId="36" fillId="0" borderId="1" xfId="0" applyNumberFormat="1" applyFont="1" applyFill="1" applyBorder="1" applyAlignment="1">
      <alignment horizontal="right" vertical="center"/>
    </xf>
    <xf numFmtId="180" fontId="36" fillId="0" borderId="1" xfId="1009" applyNumberFormat="1" applyFont="1" applyFill="1" applyBorder="1" applyAlignment="1">
      <alignment vertical="center"/>
    </xf>
    <xf numFmtId="179" fontId="46" fillId="0" borderId="1" xfId="1009" applyNumberFormat="1" applyFont="1" applyFill="1" applyBorder="1" applyAlignment="1">
      <alignment vertical="center"/>
    </xf>
    <xf numFmtId="0" fontId="36" fillId="0" borderId="0" xfId="0" applyFont="1">
      <alignment vertical="center"/>
    </xf>
    <xf numFmtId="4" fontId="39" fillId="0" borderId="0" xfId="1009" applyNumberFormat="1" applyFont="1" applyBorder="1" applyAlignment="1">
      <alignment vertical="center"/>
    </xf>
    <xf numFmtId="4" fontId="36" fillId="0" borderId="1" xfId="1009" applyNumberFormat="1" applyFont="1" applyFill="1" applyBorder="1" applyAlignment="1">
      <alignment vertical="center"/>
    </xf>
    <xf numFmtId="181" fontId="39" fillId="0" borderId="1" xfId="1009" applyNumberFormat="1" applyFont="1" applyBorder="1" applyAlignment="1">
      <alignment horizontal="right" vertical="center"/>
    </xf>
    <xf numFmtId="0" fontId="39" fillId="0" borderId="0" xfId="1009" quotePrefix="1" applyFont="1">
      <alignment vertical="center"/>
    </xf>
    <xf numFmtId="0" fontId="39" fillId="0" borderId="0" xfId="1009" applyFont="1">
      <alignment vertical="center"/>
    </xf>
    <xf numFmtId="0" fontId="39" fillId="0" borderId="0" xfId="1009" applyFont="1" applyAlignment="1">
      <alignment horizontal="right" vertical="center"/>
    </xf>
    <xf numFmtId="0" fontId="39" fillId="0" borderId="0" xfId="0" applyFont="1">
      <alignment vertical="center"/>
    </xf>
    <xf numFmtId="181" fontId="39" fillId="2" borderId="1" xfId="1009" applyNumberFormat="1" applyFont="1" applyFill="1" applyBorder="1" applyAlignment="1" applyProtection="1">
      <alignment horizontal="right" vertical="center"/>
      <protection locked="0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184" fontId="39" fillId="2" borderId="1" xfId="1009" applyNumberFormat="1" applyFont="1" applyFill="1" applyBorder="1" applyAlignment="1" applyProtection="1">
      <alignment vertical="center"/>
      <protection locked="0"/>
    </xf>
    <xf numFmtId="180" fontId="39" fillId="2" borderId="1" xfId="1009" applyNumberFormat="1" applyFont="1" applyFill="1" applyBorder="1" applyAlignment="1" applyProtection="1">
      <alignment horizontal="center" vertical="center"/>
      <protection locked="0"/>
    </xf>
    <xf numFmtId="191" fontId="45" fillId="36" borderId="1" xfId="3" applyNumberFormat="1" applyFont="1" applyFill="1" applyBorder="1" applyAlignment="1" applyProtection="1">
      <alignment horizontal="center" vertical="center"/>
      <protection locked="0"/>
    </xf>
    <xf numFmtId="0" fontId="45" fillId="36" borderId="1" xfId="0" applyFont="1" applyFill="1" applyBorder="1" applyAlignment="1" applyProtection="1">
      <alignment horizontal="center" vertical="center"/>
      <protection locked="0"/>
    </xf>
    <xf numFmtId="176" fontId="45" fillId="36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Border="1" applyAlignment="1">
      <alignment horizontal="left"/>
    </xf>
    <xf numFmtId="184" fontId="36" fillId="0" borderId="1" xfId="1009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3" fillId="0" borderId="47" xfId="576" applyFont="1" applyBorder="1" applyAlignment="1">
      <alignment horizontal="center" vertical="center"/>
    </xf>
    <xf numFmtId="0" fontId="43" fillId="0" borderId="14" xfId="576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7" borderId="13" xfId="0" applyFont="1" applyFill="1" applyBorder="1" applyAlignment="1">
      <alignment horizontal="center" vertical="center"/>
    </xf>
    <xf numFmtId="0" fontId="5" fillId="37" borderId="10" xfId="0" applyFont="1" applyFill="1" applyBorder="1" applyAlignment="1">
      <alignment horizontal="center" vertical="center"/>
    </xf>
    <xf numFmtId="0" fontId="5" fillId="37" borderId="9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47" fillId="37" borderId="13" xfId="0" applyFont="1" applyFill="1" applyBorder="1" applyAlignment="1">
      <alignment horizontal="center" vertical="center"/>
    </xf>
    <xf numFmtId="0" fontId="47" fillId="37" borderId="10" xfId="0" applyFont="1" applyFill="1" applyBorder="1" applyAlignment="1">
      <alignment horizontal="center" vertical="center"/>
    </xf>
    <xf numFmtId="0" fontId="43" fillId="0" borderId="13" xfId="576" applyFont="1" applyBorder="1" applyAlignment="1">
      <alignment horizontal="center" vertical="center"/>
    </xf>
    <xf numFmtId="0" fontId="43" fillId="0" borderId="10" xfId="576" applyFont="1" applyBorder="1" applyAlignment="1">
      <alignment horizontal="center" vertical="center"/>
    </xf>
    <xf numFmtId="0" fontId="43" fillId="0" borderId="9" xfId="576" applyFont="1" applyBorder="1" applyAlignment="1">
      <alignment horizontal="center" vertical="center"/>
    </xf>
    <xf numFmtId="0" fontId="57" fillId="37" borderId="1" xfId="0" applyFont="1" applyFill="1" applyBorder="1" applyAlignment="1">
      <alignment horizontal="center" vertical="center"/>
    </xf>
    <xf numFmtId="0" fontId="57" fillId="37" borderId="13" xfId="0" applyFont="1" applyFill="1" applyBorder="1" applyAlignment="1">
      <alignment horizontal="center" vertical="center"/>
    </xf>
    <xf numFmtId="185" fontId="5" fillId="0" borderId="46" xfId="0" applyNumberFormat="1" applyFont="1" applyBorder="1" applyAlignment="1">
      <alignment horizontal="center" vertical="center"/>
    </xf>
    <xf numFmtId="185" fontId="5" fillId="0" borderId="48" xfId="0" applyNumberFormat="1" applyFont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184" fontId="5" fillId="0" borderId="46" xfId="0" applyNumberFormat="1" applyFont="1" applyBorder="1" applyAlignment="1">
      <alignment horizontal="center" vertical="center"/>
    </xf>
    <xf numFmtId="184" fontId="5" fillId="0" borderId="45" xfId="0" applyNumberFormat="1" applyFont="1" applyBorder="1" applyAlignment="1">
      <alignment horizontal="center" vertical="center"/>
    </xf>
    <xf numFmtId="184" fontId="5" fillId="0" borderId="48" xfId="0" applyNumberFormat="1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176" fontId="5" fillId="0" borderId="46" xfId="0" applyNumberFormat="1" applyFont="1" applyFill="1" applyBorder="1" applyAlignment="1">
      <alignment horizontal="center" vertical="center"/>
    </xf>
    <xf numFmtId="176" fontId="5" fillId="0" borderId="48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37" borderId="13" xfId="0" applyFont="1" applyFill="1" applyBorder="1" applyAlignment="1">
      <alignment horizontal="left" vertical="center" wrapText="1"/>
    </xf>
    <xf numFmtId="0" fontId="5" fillId="37" borderId="9" xfId="0" applyFont="1" applyFill="1" applyBorder="1" applyAlignment="1">
      <alignment horizontal="left" vertical="center" wrapText="1"/>
    </xf>
    <xf numFmtId="0" fontId="31" fillId="34" borderId="29" xfId="0" applyFont="1" applyFill="1" applyBorder="1" applyAlignment="1">
      <alignment horizontal="center" vertical="center" wrapText="1" readingOrder="1"/>
    </xf>
    <xf numFmtId="0" fontId="31" fillId="34" borderId="30" xfId="0" applyFont="1" applyFill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4" fillId="0" borderId="25" xfId="0" applyFont="1" applyBorder="1" applyAlignment="1">
      <alignment horizontal="center" vertical="center" wrapText="1" readingOrder="1"/>
    </xf>
    <xf numFmtId="0" fontId="31" fillId="0" borderId="0" xfId="0" applyFont="1" applyFill="1" applyBorder="1" applyAlignment="1">
      <alignment horizontal="center" vertical="center" wrapText="1" readingOrder="1"/>
    </xf>
    <xf numFmtId="0" fontId="25" fillId="0" borderId="0" xfId="0" applyFont="1" applyFill="1" applyBorder="1" applyAlignment="1">
      <alignment horizontal="center" vertical="center" wrapText="1" readingOrder="1"/>
    </xf>
    <xf numFmtId="0" fontId="0" fillId="0" borderId="30" xfId="0" applyBorder="1" applyAlignment="1">
      <alignment horizontal="center" vertical="center" wrapText="1" readingOrder="1"/>
    </xf>
    <xf numFmtId="0" fontId="0" fillId="0" borderId="24" xfId="0" applyBorder="1" applyAlignment="1">
      <alignment horizontal="center" vertical="center" wrapText="1" readingOrder="1"/>
    </xf>
    <xf numFmtId="0" fontId="0" fillId="0" borderId="25" xfId="0" applyBorder="1" applyAlignment="1">
      <alignment horizontal="center" vertical="center" wrapText="1" readingOrder="1"/>
    </xf>
    <xf numFmtId="0" fontId="27" fillId="0" borderId="0" xfId="0" applyFont="1" applyFill="1" applyBorder="1" applyAlignment="1">
      <alignment horizontal="center" vertical="center" wrapText="1" readingOrder="1"/>
    </xf>
    <xf numFmtId="0" fontId="25" fillId="0" borderId="24" xfId="0" applyFont="1" applyBorder="1" applyAlignment="1">
      <alignment horizontal="center" vertical="center" wrapText="1" readingOrder="1"/>
    </xf>
    <xf numFmtId="0" fontId="25" fillId="0" borderId="25" xfId="0" applyFont="1" applyBorder="1" applyAlignment="1">
      <alignment horizontal="center" vertical="center" wrapText="1" readingOrder="1"/>
    </xf>
    <xf numFmtId="0" fontId="25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center" readingOrder="1"/>
    </xf>
    <xf numFmtId="0" fontId="0" fillId="0" borderId="24" xfId="0" applyBorder="1" applyAlignment="1">
      <alignment vertical="center" readingOrder="1"/>
    </xf>
    <xf numFmtId="0" fontId="0" fillId="0" borderId="25" xfId="0" applyBorder="1" applyAlignment="1">
      <alignment vertical="center" readingOrder="1"/>
    </xf>
    <xf numFmtId="0" fontId="2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wrapText="1"/>
    </xf>
    <xf numFmtId="0" fontId="0" fillId="0" borderId="30" xfId="0" applyBorder="1" applyAlignment="1">
      <alignment vertical="center" wrapText="1" readingOrder="1"/>
    </xf>
    <xf numFmtId="0" fontId="0" fillId="0" borderId="24" xfId="0" applyBorder="1" applyAlignment="1">
      <alignment vertical="center" wrapText="1" readingOrder="1"/>
    </xf>
    <xf numFmtId="0" fontId="0" fillId="0" borderId="25" xfId="0" applyBorder="1" applyAlignment="1">
      <alignment vertical="center" wrapText="1" readingOrder="1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0" fillId="0" borderId="0" xfId="0" applyFill="1" applyBorder="1" applyAlignment="1">
      <alignment vertical="center" wrapText="1" readingOrder="1"/>
    </xf>
    <xf numFmtId="0" fontId="0" fillId="0" borderId="0" xfId="0" applyFill="1" applyBorder="1" applyAlignment="1">
      <alignment vertical="center" readingOrder="1"/>
    </xf>
    <xf numFmtId="0" fontId="0" fillId="0" borderId="0" xfId="0" applyFill="1" applyBorder="1" applyAlignment="1">
      <alignment vertical="center"/>
    </xf>
  </cellXfs>
  <cellStyles count="1010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パーセント 2" xfId="31"/>
    <cellStyle name="パーセント 2 10" xfId="32"/>
    <cellStyle name="パーセント 2 2" xfId="33"/>
    <cellStyle name="パーセント 2 2 2" xfId="34"/>
    <cellStyle name="パーセント 2 2 2 2" xfId="35"/>
    <cellStyle name="パーセント 2 2 2 2 2" xfId="36"/>
    <cellStyle name="パーセント 2 2 2 2 2 2" xfId="37"/>
    <cellStyle name="パーセント 2 2 2 2 3" xfId="38"/>
    <cellStyle name="パーセント 2 2 2 3" xfId="39"/>
    <cellStyle name="パーセント 2 2 2 3 2" xfId="40"/>
    <cellStyle name="パーセント 2 2 2 4" xfId="41"/>
    <cellStyle name="パーセント 2 2 2 4 2" xfId="42"/>
    <cellStyle name="パーセント 2 2 2 5" xfId="43"/>
    <cellStyle name="パーセント 2 2 3" xfId="44"/>
    <cellStyle name="パーセント 2 2 3 2" xfId="45"/>
    <cellStyle name="パーセント 2 2 3 2 2" xfId="46"/>
    <cellStyle name="パーセント 2 2 3 3" xfId="47"/>
    <cellStyle name="パーセント 2 2 3 3 2" xfId="48"/>
    <cellStyle name="パーセント 2 2 3 4" xfId="49"/>
    <cellStyle name="パーセント 2 2 3 4 2" xfId="50"/>
    <cellStyle name="パーセント 2 2 3 5" xfId="51"/>
    <cellStyle name="パーセント 2 2 4" xfId="52"/>
    <cellStyle name="パーセント 2 2 4 2" xfId="53"/>
    <cellStyle name="パーセント 2 2 4 2 2" xfId="54"/>
    <cellStyle name="パーセント 2 2 4 3" xfId="55"/>
    <cellStyle name="パーセント 2 2 5" xfId="56"/>
    <cellStyle name="パーセント 2 2 5 2" xfId="57"/>
    <cellStyle name="パーセント 2 2 6" xfId="58"/>
    <cellStyle name="パーセント 2 2 6 2" xfId="59"/>
    <cellStyle name="パーセント 2 2 7" xfId="60"/>
    <cellStyle name="パーセント 2 3" xfId="61"/>
    <cellStyle name="パーセント 2 3 2" xfId="62"/>
    <cellStyle name="パーセント 2 3 2 2" xfId="63"/>
    <cellStyle name="パーセント 2 3 2 2 2" xfId="64"/>
    <cellStyle name="パーセント 2 3 2 2 2 2" xfId="65"/>
    <cellStyle name="パーセント 2 3 2 2 3" xfId="66"/>
    <cellStyle name="パーセント 2 3 2 3" xfId="67"/>
    <cellStyle name="パーセント 2 3 2 3 2" xfId="68"/>
    <cellStyle name="パーセント 2 3 2 4" xfId="69"/>
    <cellStyle name="パーセント 2 3 2 4 2" xfId="70"/>
    <cellStyle name="パーセント 2 3 2 5" xfId="71"/>
    <cellStyle name="パーセント 2 3 3" xfId="72"/>
    <cellStyle name="パーセント 2 3 3 2" xfId="73"/>
    <cellStyle name="パーセント 2 3 3 2 2" xfId="74"/>
    <cellStyle name="パーセント 2 3 3 3" xfId="75"/>
    <cellStyle name="パーセント 2 3 4" xfId="76"/>
    <cellStyle name="パーセント 2 3 4 2" xfId="77"/>
    <cellStyle name="パーセント 2 3 5" xfId="78"/>
    <cellStyle name="パーセント 2 3 5 2" xfId="79"/>
    <cellStyle name="パーセント 2 3 6" xfId="80"/>
    <cellStyle name="パーセント 2 4" xfId="81"/>
    <cellStyle name="パーセント 2 4 2" xfId="82"/>
    <cellStyle name="パーセント 2 4 2 2" xfId="83"/>
    <cellStyle name="パーセント 2 4 2 2 2" xfId="84"/>
    <cellStyle name="パーセント 2 4 2 3" xfId="85"/>
    <cellStyle name="パーセント 2 4 3" xfId="86"/>
    <cellStyle name="パーセント 2 4 3 2" xfId="87"/>
    <cellStyle name="パーセント 2 4 4" xfId="88"/>
    <cellStyle name="パーセント 2 4 4 2" xfId="89"/>
    <cellStyle name="パーセント 2 4 5" xfId="90"/>
    <cellStyle name="パーセント 2 5" xfId="91"/>
    <cellStyle name="パーセント 2 5 2" xfId="92"/>
    <cellStyle name="パーセント 2 5 2 2" xfId="93"/>
    <cellStyle name="パーセント 2 5 3" xfId="94"/>
    <cellStyle name="パーセント 2 5 3 2" xfId="95"/>
    <cellStyle name="パーセント 2 5 4" xfId="96"/>
    <cellStyle name="パーセント 2 5 4 2" xfId="97"/>
    <cellStyle name="パーセント 2 5 5" xfId="98"/>
    <cellStyle name="パーセント 2 6" xfId="99"/>
    <cellStyle name="パーセント 2 6 2" xfId="100"/>
    <cellStyle name="パーセント 2 6 2 2" xfId="101"/>
    <cellStyle name="パーセント 2 6 3" xfId="102"/>
    <cellStyle name="パーセント 2 6 3 2" xfId="103"/>
    <cellStyle name="パーセント 2 6 4" xfId="104"/>
    <cellStyle name="パーセント 2 6 4 2" xfId="105"/>
    <cellStyle name="パーセント 2 6 5" xfId="106"/>
    <cellStyle name="パーセント 2 7" xfId="107"/>
    <cellStyle name="パーセント 2 7 2" xfId="108"/>
    <cellStyle name="パーセント 2 7 2 2" xfId="109"/>
    <cellStyle name="パーセント 2 7 3" xfId="110"/>
    <cellStyle name="パーセント 2 8" xfId="111"/>
    <cellStyle name="パーセント 2 8 2" xfId="112"/>
    <cellStyle name="パーセント 2 9" xfId="113"/>
    <cellStyle name="パーセント 2 9 2" xfId="114"/>
    <cellStyle name="パーセント 3" xfId="115"/>
    <cellStyle name="パーセント 4" xfId="116"/>
    <cellStyle name="パーセント 4 2" xfId="117"/>
    <cellStyle name="パーセント 4 2 2" xfId="118"/>
    <cellStyle name="パーセント 4 2 2 2" xfId="119"/>
    <cellStyle name="パーセント 4 2 2 2 2" xfId="120"/>
    <cellStyle name="パーセント 4 2 2 3" xfId="121"/>
    <cellStyle name="パーセント 4 2 3" xfId="122"/>
    <cellStyle name="パーセント 4 2 3 2" xfId="123"/>
    <cellStyle name="パーセント 4 2 4" xfId="124"/>
    <cellStyle name="パーセント 4 2 4 2" xfId="125"/>
    <cellStyle name="パーセント 4 2 5" xfId="126"/>
    <cellStyle name="パーセント 4 3" xfId="127"/>
    <cellStyle name="パーセント 4 3 2" xfId="128"/>
    <cellStyle name="パーセント 4 3 2 2" xfId="129"/>
    <cellStyle name="パーセント 4 3 3" xfId="130"/>
    <cellStyle name="パーセント 4 3 3 2" xfId="131"/>
    <cellStyle name="パーセント 4 3 4" xfId="132"/>
    <cellStyle name="パーセント 4 3 4 2" xfId="133"/>
    <cellStyle name="パーセント 4 3 5" xfId="134"/>
    <cellStyle name="パーセント 4 4" xfId="135"/>
    <cellStyle name="パーセント 4 4 2" xfId="136"/>
    <cellStyle name="パーセント 4 4 2 2" xfId="137"/>
    <cellStyle name="パーセント 4 4 3" xfId="138"/>
    <cellStyle name="パーセント 4 5" xfId="139"/>
    <cellStyle name="パーセント 4 5 2" xfId="140"/>
    <cellStyle name="パーセント 4 6" xfId="141"/>
    <cellStyle name="パーセント 4 6 2" xfId="142"/>
    <cellStyle name="パーセント 4 7" xfId="143"/>
    <cellStyle name="パーセント 5" xfId="144"/>
    <cellStyle name="パーセント 5 2" xfId="145"/>
    <cellStyle name="パーセント 5 2 2" xfId="146"/>
    <cellStyle name="パーセント 5 2 2 2" xfId="147"/>
    <cellStyle name="パーセント 5 2 3" xfId="148"/>
    <cellStyle name="パーセント 5 3" xfId="149"/>
    <cellStyle name="パーセント 5 3 2" xfId="150"/>
    <cellStyle name="パーセント 5 4" xfId="151"/>
    <cellStyle name="パーセント 5 4 2" xfId="152"/>
    <cellStyle name="パーセント 5 5" xfId="153"/>
    <cellStyle name="パーセント 6" xfId="154"/>
    <cellStyle name="パーセント 6 2" xfId="155"/>
    <cellStyle name="パーセント 6 2 2" xfId="156"/>
    <cellStyle name="パーセント 6 3" xfId="157"/>
    <cellStyle name="パーセント 6 3 2" xfId="158"/>
    <cellStyle name="パーセント 6 4" xfId="159"/>
    <cellStyle name="パーセント 6 4 2" xfId="160"/>
    <cellStyle name="パーセント 6 5" xfId="161"/>
    <cellStyle name="メモ 2" xfId="162"/>
    <cellStyle name="メモ 2 2" xfId="163"/>
    <cellStyle name="メモ 2 2 2" xfId="164"/>
    <cellStyle name="メモ 2 2 2 2" xfId="165"/>
    <cellStyle name="メモ 2 2 2 2 2" xfId="166"/>
    <cellStyle name="メモ 2 2 2 3" xfId="167"/>
    <cellStyle name="メモ 2 2 3" xfId="168"/>
    <cellStyle name="メモ 2 2 3 2" xfId="169"/>
    <cellStyle name="メモ 2 2 4" xfId="170"/>
    <cellStyle name="メモ 2 2 4 2" xfId="171"/>
    <cellStyle name="メモ 2 2 5" xfId="172"/>
    <cellStyle name="メモ 2 3" xfId="173"/>
    <cellStyle name="メモ 2 3 2" xfId="174"/>
    <cellStyle name="メモ 2 3 2 2" xfId="175"/>
    <cellStyle name="メモ 2 3 3" xfId="176"/>
    <cellStyle name="メモ 2 3 3 2" xfId="177"/>
    <cellStyle name="メモ 2 3 4" xfId="178"/>
    <cellStyle name="メモ 2 3 4 2" xfId="179"/>
    <cellStyle name="メモ 2 3 5" xfId="180"/>
    <cellStyle name="メモ 2 4" xfId="181"/>
    <cellStyle name="メモ 2 4 2" xfId="182"/>
    <cellStyle name="メモ 2 4 2 2" xfId="183"/>
    <cellStyle name="メモ 2 4 3" xfId="184"/>
    <cellStyle name="メモ 2 5" xfId="185"/>
    <cellStyle name="メモ 2 5 2" xfId="186"/>
    <cellStyle name="メモ 2 6" xfId="187"/>
    <cellStyle name="メモ 2 6 2" xfId="188"/>
    <cellStyle name="メモ 2 7" xfId="189"/>
    <cellStyle name="リンク セル 2" xfId="190"/>
    <cellStyle name="悪い 2" xfId="191"/>
    <cellStyle name="計算 2" xfId="192"/>
    <cellStyle name="警告文 2" xfId="193"/>
    <cellStyle name="桁区切り 10" xfId="194"/>
    <cellStyle name="桁区切り 10 2" xfId="195"/>
    <cellStyle name="桁区切り 10 2 2" xfId="196"/>
    <cellStyle name="桁区切り 10 3" xfId="197"/>
    <cellStyle name="桁区切り 10 3 2" xfId="198"/>
    <cellStyle name="桁区切り 10 4" xfId="199"/>
    <cellStyle name="桁区切り 10 4 2" xfId="200"/>
    <cellStyle name="桁区切り 10 5" xfId="201"/>
    <cellStyle name="桁区切り 2" xfId="2"/>
    <cellStyle name="桁区切り 2 10" xfId="202"/>
    <cellStyle name="桁区切り 2 10 2" xfId="203"/>
    <cellStyle name="桁区切り 2 11" xfId="204"/>
    <cellStyle name="桁区切り 2 2" xfId="205"/>
    <cellStyle name="桁区切り 2 2 2" xfId="206"/>
    <cellStyle name="桁区切り 2 2 2 2" xfId="207"/>
    <cellStyle name="桁区切り 2 2 2 2 2" xfId="208"/>
    <cellStyle name="桁区切り 2 2 2 2 2 2" xfId="209"/>
    <cellStyle name="桁区切り 2 2 2 2 2 2 2" xfId="210"/>
    <cellStyle name="桁区切り 2 2 2 2 2 3" xfId="211"/>
    <cellStyle name="桁区切り 2 2 2 2 3" xfId="212"/>
    <cellStyle name="桁区切り 2 2 2 2 3 2" xfId="213"/>
    <cellStyle name="桁区切り 2 2 2 2 4" xfId="214"/>
    <cellStyle name="桁区切り 2 2 2 2 4 2" xfId="215"/>
    <cellStyle name="桁区切り 2 2 2 2 5" xfId="216"/>
    <cellStyle name="桁区切り 2 2 2 3" xfId="217"/>
    <cellStyle name="桁区切り 2 2 2 3 2" xfId="218"/>
    <cellStyle name="桁区切り 2 2 2 3 2 2" xfId="219"/>
    <cellStyle name="桁区切り 2 2 2 3 3" xfId="220"/>
    <cellStyle name="桁区切り 2 2 2 3 3 2" xfId="221"/>
    <cellStyle name="桁区切り 2 2 2 3 4" xfId="222"/>
    <cellStyle name="桁区切り 2 2 2 3 4 2" xfId="223"/>
    <cellStyle name="桁区切り 2 2 2 3 5" xfId="224"/>
    <cellStyle name="桁区切り 2 2 2 4" xfId="225"/>
    <cellStyle name="桁区切り 2 2 2 4 2" xfId="226"/>
    <cellStyle name="桁区切り 2 2 2 4 2 2" xfId="227"/>
    <cellStyle name="桁区切り 2 2 2 4 3" xfId="228"/>
    <cellStyle name="桁区切り 2 2 2 5" xfId="229"/>
    <cellStyle name="桁区切り 2 2 2 5 2" xfId="230"/>
    <cellStyle name="桁区切り 2 2 2 6" xfId="231"/>
    <cellStyle name="桁区切り 2 2 2 6 2" xfId="232"/>
    <cellStyle name="桁区切り 2 2 2 7" xfId="233"/>
    <cellStyle name="桁区切り 2 2 3" xfId="234"/>
    <cellStyle name="桁区切り 2 2 3 2" xfId="235"/>
    <cellStyle name="桁区切り 2 2 3 2 2" xfId="236"/>
    <cellStyle name="桁区切り 2 2 3 2 2 2" xfId="237"/>
    <cellStyle name="桁区切り 2 2 3 2 3" xfId="238"/>
    <cellStyle name="桁区切り 2 2 3 3" xfId="239"/>
    <cellStyle name="桁区切り 2 2 3 3 2" xfId="240"/>
    <cellStyle name="桁区切り 2 2 3 4" xfId="241"/>
    <cellStyle name="桁区切り 2 2 3 4 2" xfId="242"/>
    <cellStyle name="桁区切り 2 2 3 5" xfId="243"/>
    <cellStyle name="桁区切り 2 2 4" xfId="244"/>
    <cellStyle name="桁区切り 2 2 4 2" xfId="245"/>
    <cellStyle name="桁区切り 2 2 4 2 2" xfId="246"/>
    <cellStyle name="桁区切り 2 2 4 3" xfId="247"/>
    <cellStyle name="桁区切り 2 2 4 3 2" xfId="248"/>
    <cellStyle name="桁区切り 2 2 4 4" xfId="249"/>
    <cellStyle name="桁区切り 2 2 4 4 2" xfId="250"/>
    <cellStyle name="桁区切り 2 2 4 5" xfId="251"/>
    <cellStyle name="桁区切り 2 2 5" xfId="252"/>
    <cellStyle name="桁区切り 2 2 5 2" xfId="253"/>
    <cellStyle name="桁区切り 2 2 5 2 2" xfId="254"/>
    <cellStyle name="桁区切り 2 2 5 3" xfId="255"/>
    <cellStyle name="桁区切り 2 2 6" xfId="256"/>
    <cellStyle name="桁区切り 2 2 6 2" xfId="257"/>
    <cellStyle name="桁区切り 2 2 7" xfId="258"/>
    <cellStyle name="桁区切り 2 2 7 2" xfId="259"/>
    <cellStyle name="桁区切り 2 2 8" xfId="260"/>
    <cellStyle name="桁区切り 2 3" xfId="261"/>
    <cellStyle name="桁区切り 2 3 2" xfId="262"/>
    <cellStyle name="桁区切り 2 3 2 2" xfId="263"/>
    <cellStyle name="桁区切り 2 3 2 2 2" xfId="264"/>
    <cellStyle name="桁区切り 2 3 2 2 2 2" xfId="265"/>
    <cellStyle name="桁区切り 2 3 2 2 3" xfId="266"/>
    <cellStyle name="桁区切り 2 3 2 3" xfId="267"/>
    <cellStyle name="桁区切り 2 3 2 3 2" xfId="268"/>
    <cellStyle name="桁区切り 2 3 2 4" xfId="269"/>
    <cellStyle name="桁区切り 2 3 2 4 2" xfId="270"/>
    <cellStyle name="桁区切り 2 3 2 5" xfId="271"/>
    <cellStyle name="桁区切り 2 3 3" xfId="272"/>
    <cellStyle name="桁区切り 2 3 3 2" xfId="273"/>
    <cellStyle name="桁区切り 2 3 3 2 2" xfId="274"/>
    <cellStyle name="桁区切り 2 3 3 3" xfId="275"/>
    <cellStyle name="桁区切り 2 3 3 3 2" xfId="276"/>
    <cellStyle name="桁区切り 2 3 3 4" xfId="277"/>
    <cellStyle name="桁区切り 2 3 3 4 2" xfId="278"/>
    <cellStyle name="桁区切り 2 3 3 5" xfId="279"/>
    <cellStyle name="桁区切り 2 3 4" xfId="280"/>
    <cellStyle name="桁区切り 2 3 4 2" xfId="281"/>
    <cellStyle name="桁区切り 2 3 4 2 2" xfId="282"/>
    <cellStyle name="桁区切り 2 3 4 3" xfId="283"/>
    <cellStyle name="桁区切り 2 3 5" xfId="284"/>
    <cellStyle name="桁区切り 2 3 5 2" xfId="285"/>
    <cellStyle name="桁区切り 2 3 6" xfId="286"/>
    <cellStyle name="桁区切り 2 3 6 2" xfId="287"/>
    <cellStyle name="桁区切り 2 3 7" xfId="288"/>
    <cellStyle name="桁区切り 2 4" xfId="289"/>
    <cellStyle name="桁区切り 2 4 2" xfId="290"/>
    <cellStyle name="桁区切り 2 4 2 2" xfId="291"/>
    <cellStyle name="桁区切り 2 4 2 2 2" xfId="292"/>
    <cellStyle name="桁区切り 2 4 2 2 2 2" xfId="293"/>
    <cellStyle name="桁区切り 2 4 2 2 3" xfId="294"/>
    <cellStyle name="桁区切り 2 4 2 3" xfId="295"/>
    <cellStyle name="桁区切り 2 4 2 3 2" xfId="296"/>
    <cellStyle name="桁区切り 2 4 2 4" xfId="297"/>
    <cellStyle name="桁区切り 2 4 2 4 2" xfId="298"/>
    <cellStyle name="桁区切り 2 4 2 5" xfId="299"/>
    <cellStyle name="桁区切り 2 4 3" xfId="300"/>
    <cellStyle name="桁区切り 2 4 3 2" xfId="301"/>
    <cellStyle name="桁区切り 2 4 3 2 2" xfId="302"/>
    <cellStyle name="桁区切り 2 4 3 3" xfId="303"/>
    <cellStyle name="桁区切り 2 4 4" xfId="304"/>
    <cellStyle name="桁区切り 2 4 4 2" xfId="305"/>
    <cellStyle name="桁区切り 2 4 5" xfId="306"/>
    <cellStyle name="桁区切り 2 4 5 2" xfId="307"/>
    <cellStyle name="桁区切り 2 4 6" xfId="308"/>
    <cellStyle name="桁区切り 2 5" xfId="309"/>
    <cellStyle name="桁区切り 2 5 2" xfId="310"/>
    <cellStyle name="桁区切り 2 5 2 2" xfId="311"/>
    <cellStyle name="桁区切り 2 5 2 2 2" xfId="312"/>
    <cellStyle name="桁区切り 2 5 2 3" xfId="313"/>
    <cellStyle name="桁区切り 2 5 3" xfId="314"/>
    <cellStyle name="桁区切り 2 5 3 2" xfId="315"/>
    <cellStyle name="桁区切り 2 5 4" xfId="316"/>
    <cellStyle name="桁区切り 2 5 4 2" xfId="317"/>
    <cellStyle name="桁区切り 2 5 5" xfId="318"/>
    <cellStyle name="桁区切り 2 6" xfId="319"/>
    <cellStyle name="桁区切り 2 6 2" xfId="320"/>
    <cellStyle name="桁区切り 2 6 2 2" xfId="321"/>
    <cellStyle name="桁区切り 2 6 3" xfId="322"/>
    <cellStyle name="桁区切り 2 6 3 2" xfId="323"/>
    <cellStyle name="桁区切り 2 6 4" xfId="324"/>
    <cellStyle name="桁区切り 2 6 4 2" xfId="325"/>
    <cellStyle name="桁区切り 2 6 5" xfId="326"/>
    <cellStyle name="桁区切り 2 7" xfId="327"/>
    <cellStyle name="桁区切り 2 7 2" xfId="328"/>
    <cellStyle name="桁区切り 2 7 2 2" xfId="329"/>
    <cellStyle name="桁区切り 2 7 3" xfId="330"/>
    <cellStyle name="桁区切り 2 7 3 2" xfId="331"/>
    <cellStyle name="桁区切り 2 7 4" xfId="332"/>
    <cellStyle name="桁区切り 2 7 4 2" xfId="333"/>
    <cellStyle name="桁区切り 2 7 5" xfId="334"/>
    <cellStyle name="桁区切り 2 8" xfId="335"/>
    <cellStyle name="桁区切り 2 8 2" xfId="336"/>
    <cellStyle name="桁区切り 2 8 2 2" xfId="337"/>
    <cellStyle name="桁区切り 2 8 3" xfId="338"/>
    <cellStyle name="桁区切り 2 9" xfId="339"/>
    <cellStyle name="桁区切り 2 9 2" xfId="340"/>
    <cellStyle name="桁区切り 3" xfId="341"/>
    <cellStyle name="桁区切り 4" xfId="342"/>
    <cellStyle name="桁区切り 4 2" xfId="343"/>
    <cellStyle name="桁区切り 4 2 2" xfId="344"/>
    <cellStyle name="桁区切り 4 2 2 2" xfId="345"/>
    <cellStyle name="桁区切り 4 2 2 2 2" xfId="346"/>
    <cellStyle name="桁区切り 4 2 2 2 2 2" xfId="347"/>
    <cellStyle name="桁区切り 4 2 2 2 3" xfId="348"/>
    <cellStyle name="桁区切り 4 2 2 3" xfId="349"/>
    <cellStyle name="桁区切り 4 2 2 3 2" xfId="350"/>
    <cellStyle name="桁区切り 4 2 2 4" xfId="351"/>
    <cellStyle name="桁区切り 4 2 2 4 2" xfId="352"/>
    <cellStyle name="桁区切り 4 2 2 5" xfId="353"/>
    <cellStyle name="桁区切り 4 2 3" xfId="354"/>
    <cellStyle name="桁区切り 4 2 3 2" xfId="355"/>
    <cellStyle name="桁区切り 4 2 3 2 2" xfId="356"/>
    <cellStyle name="桁区切り 4 2 3 3" xfId="357"/>
    <cellStyle name="桁区切り 4 2 3 3 2" xfId="358"/>
    <cellStyle name="桁区切り 4 2 3 4" xfId="359"/>
    <cellStyle name="桁区切り 4 2 3 4 2" xfId="360"/>
    <cellStyle name="桁区切り 4 2 3 5" xfId="361"/>
    <cellStyle name="桁区切り 4 2 4" xfId="362"/>
    <cellStyle name="桁区切り 4 2 4 2" xfId="363"/>
    <cellStyle name="桁区切り 4 2 4 2 2" xfId="364"/>
    <cellStyle name="桁区切り 4 2 4 3" xfId="365"/>
    <cellStyle name="桁区切り 4 2 5" xfId="366"/>
    <cellStyle name="桁区切り 4 2 5 2" xfId="367"/>
    <cellStyle name="桁区切り 4 2 6" xfId="368"/>
    <cellStyle name="桁区切り 4 2 6 2" xfId="369"/>
    <cellStyle name="桁区切り 4 2 7" xfId="370"/>
    <cellStyle name="桁区切り 4 3" xfId="371"/>
    <cellStyle name="桁区切り 4 3 2" xfId="372"/>
    <cellStyle name="桁区切り 4 3 2 2" xfId="373"/>
    <cellStyle name="桁区切り 4 3 2 2 2" xfId="374"/>
    <cellStyle name="桁区切り 4 3 2 3" xfId="375"/>
    <cellStyle name="桁区切り 4 3 3" xfId="376"/>
    <cellStyle name="桁区切り 4 3 3 2" xfId="377"/>
    <cellStyle name="桁区切り 4 3 4" xfId="378"/>
    <cellStyle name="桁区切り 4 3 4 2" xfId="379"/>
    <cellStyle name="桁区切り 4 3 5" xfId="380"/>
    <cellStyle name="桁区切り 4 4" xfId="381"/>
    <cellStyle name="桁区切り 4 4 2" xfId="382"/>
    <cellStyle name="桁区切り 4 4 2 2" xfId="383"/>
    <cellStyle name="桁区切り 4 4 3" xfId="384"/>
    <cellStyle name="桁区切り 4 4 3 2" xfId="385"/>
    <cellStyle name="桁区切り 4 4 4" xfId="386"/>
    <cellStyle name="桁区切り 4 4 4 2" xfId="387"/>
    <cellStyle name="桁区切り 4 4 5" xfId="388"/>
    <cellStyle name="桁区切り 4 5" xfId="389"/>
    <cellStyle name="桁区切り 4 5 2" xfId="390"/>
    <cellStyle name="桁区切り 4 5 2 2" xfId="391"/>
    <cellStyle name="桁区切り 4 5 3" xfId="392"/>
    <cellStyle name="桁区切り 4 6" xfId="393"/>
    <cellStyle name="桁区切り 4 6 2" xfId="394"/>
    <cellStyle name="桁区切り 4 7" xfId="395"/>
    <cellStyle name="桁区切り 4 7 2" xfId="396"/>
    <cellStyle name="桁区切り 4 8" xfId="397"/>
    <cellStyle name="桁区切り 5" xfId="398"/>
    <cellStyle name="桁区切り 5 2" xfId="399"/>
    <cellStyle name="桁区切り 5 2 2" xfId="400"/>
    <cellStyle name="桁区切り 5 2 2 2" xfId="401"/>
    <cellStyle name="桁区切り 5 2 2 2 2" xfId="402"/>
    <cellStyle name="桁区切り 5 2 2 2 2 2" xfId="403"/>
    <cellStyle name="桁区切り 5 2 2 2 3" xfId="404"/>
    <cellStyle name="桁区切り 5 2 2 3" xfId="405"/>
    <cellStyle name="桁区切り 5 2 2 3 2" xfId="406"/>
    <cellStyle name="桁区切り 5 2 2 4" xfId="407"/>
    <cellStyle name="桁区切り 5 2 2 4 2" xfId="408"/>
    <cellStyle name="桁区切り 5 2 2 5" xfId="409"/>
    <cellStyle name="桁区切り 5 2 3" xfId="410"/>
    <cellStyle name="桁区切り 5 2 3 2" xfId="411"/>
    <cellStyle name="桁区切り 5 2 3 2 2" xfId="412"/>
    <cellStyle name="桁区切り 5 2 3 3" xfId="413"/>
    <cellStyle name="桁区切り 5 2 3 3 2" xfId="414"/>
    <cellStyle name="桁区切り 5 2 3 4" xfId="415"/>
    <cellStyle name="桁区切り 5 2 3 4 2" xfId="416"/>
    <cellStyle name="桁区切り 5 2 3 5" xfId="417"/>
    <cellStyle name="桁区切り 5 2 4" xfId="418"/>
    <cellStyle name="桁区切り 5 2 4 2" xfId="419"/>
    <cellStyle name="桁区切り 5 2 4 2 2" xfId="420"/>
    <cellStyle name="桁区切り 5 2 4 3" xfId="421"/>
    <cellStyle name="桁区切り 5 2 5" xfId="422"/>
    <cellStyle name="桁区切り 5 2 5 2" xfId="423"/>
    <cellStyle name="桁区切り 5 2 6" xfId="424"/>
    <cellStyle name="桁区切り 5 2 6 2" xfId="425"/>
    <cellStyle name="桁区切り 5 2 7" xfId="426"/>
    <cellStyle name="桁区切り 5 3" xfId="427"/>
    <cellStyle name="桁区切り 5 3 2" xfId="428"/>
    <cellStyle name="桁区切り 5 3 2 2" xfId="429"/>
    <cellStyle name="桁区切り 5 3 2 2 2" xfId="430"/>
    <cellStyle name="桁区切り 5 3 2 3" xfId="431"/>
    <cellStyle name="桁区切り 5 3 3" xfId="432"/>
    <cellStyle name="桁区切り 5 3 3 2" xfId="433"/>
    <cellStyle name="桁区切り 5 3 4" xfId="434"/>
    <cellStyle name="桁区切り 5 3 4 2" xfId="435"/>
    <cellStyle name="桁区切り 5 3 5" xfId="436"/>
    <cellStyle name="桁区切り 5 4" xfId="437"/>
    <cellStyle name="桁区切り 5 4 2" xfId="438"/>
    <cellStyle name="桁区切り 5 4 2 2" xfId="439"/>
    <cellStyle name="桁区切り 5 4 3" xfId="440"/>
    <cellStyle name="桁区切り 5 4 3 2" xfId="441"/>
    <cellStyle name="桁区切り 5 4 4" xfId="442"/>
    <cellStyle name="桁区切り 5 4 4 2" xfId="443"/>
    <cellStyle name="桁区切り 5 4 5" xfId="444"/>
    <cellStyle name="桁区切り 5 5" xfId="445"/>
    <cellStyle name="桁区切り 5 5 2" xfId="446"/>
    <cellStyle name="桁区切り 5 5 2 2" xfId="447"/>
    <cellStyle name="桁区切り 5 5 3" xfId="448"/>
    <cellStyle name="桁区切り 5 6" xfId="449"/>
    <cellStyle name="桁区切り 5 6 2" xfId="450"/>
    <cellStyle name="桁区切り 5 7" xfId="451"/>
    <cellStyle name="桁区切り 5 7 2" xfId="452"/>
    <cellStyle name="桁区切り 5 8" xfId="453"/>
    <cellStyle name="桁区切り 6" xfId="454"/>
    <cellStyle name="桁区切り 6 2" xfId="455"/>
    <cellStyle name="桁区切り 6 2 2" xfId="456"/>
    <cellStyle name="桁区切り 6 2 2 2" xfId="457"/>
    <cellStyle name="桁区切り 6 2 2 2 2" xfId="458"/>
    <cellStyle name="桁区切り 6 2 2 3" xfId="459"/>
    <cellStyle name="桁区切り 6 2 3" xfId="460"/>
    <cellStyle name="桁区切り 6 2 3 2" xfId="461"/>
    <cellStyle name="桁区切り 6 2 4" xfId="462"/>
    <cellStyle name="桁区切り 6 2 4 2" xfId="463"/>
    <cellStyle name="桁区切り 6 2 5" xfId="464"/>
    <cellStyle name="桁区切り 6 3" xfId="465"/>
    <cellStyle name="桁区切り 6 3 2" xfId="466"/>
    <cellStyle name="桁区切り 6 3 2 2" xfId="467"/>
    <cellStyle name="桁区切り 6 3 3" xfId="468"/>
    <cellStyle name="桁区切り 6 3 3 2" xfId="469"/>
    <cellStyle name="桁区切り 6 3 4" xfId="470"/>
    <cellStyle name="桁区切り 6 3 4 2" xfId="471"/>
    <cellStyle name="桁区切り 6 3 5" xfId="472"/>
    <cellStyle name="桁区切り 6 4" xfId="473"/>
    <cellStyle name="桁区切り 6 4 2" xfId="474"/>
    <cellStyle name="桁区切り 6 4 2 2" xfId="475"/>
    <cellStyle name="桁区切り 6 4 3" xfId="476"/>
    <cellStyle name="桁区切り 6 5" xfId="477"/>
    <cellStyle name="桁区切り 6 5 2" xfId="478"/>
    <cellStyle name="桁区切り 6 6" xfId="479"/>
    <cellStyle name="桁区切り 6 6 2" xfId="480"/>
    <cellStyle name="桁区切り 6 7" xfId="481"/>
    <cellStyle name="桁区切り 7" xfId="482"/>
    <cellStyle name="桁区切り 8" xfId="483"/>
    <cellStyle name="桁区切り 8 2" xfId="484"/>
    <cellStyle name="桁区切り 8 2 2" xfId="485"/>
    <cellStyle name="桁区切り 8 2 2 2" xfId="486"/>
    <cellStyle name="桁区切り 8 2 3" xfId="487"/>
    <cellStyle name="桁区切り 8 3" xfId="488"/>
    <cellStyle name="桁区切り 8 3 2" xfId="489"/>
    <cellStyle name="桁区切り 8 4" xfId="490"/>
    <cellStyle name="桁区切り 8 4 2" xfId="491"/>
    <cellStyle name="桁区切り 8 5" xfId="492"/>
    <cellStyle name="桁区切り 9" xfId="493"/>
    <cellStyle name="桁区切り 9 2" xfId="494"/>
    <cellStyle name="桁区切り 9 2 2" xfId="495"/>
    <cellStyle name="桁区切り 9 2 2 2" xfId="496"/>
    <cellStyle name="桁区切り 9 2 3" xfId="497"/>
    <cellStyle name="桁区切り 9 3" xfId="498"/>
    <cellStyle name="桁区切り 9 3 2" xfId="499"/>
    <cellStyle name="桁区切り 9 4" xfId="500"/>
    <cellStyle name="桁区切り 9 4 2" xfId="501"/>
    <cellStyle name="桁区切り 9 5" xfId="502"/>
    <cellStyle name="見出し 1 2" xfId="503"/>
    <cellStyle name="見出し 2 2" xfId="504"/>
    <cellStyle name="見出し 3 2" xfId="505"/>
    <cellStyle name="見出し 4 2" xfId="506"/>
    <cellStyle name="集計 2" xfId="507"/>
    <cellStyle name="出力 2" xfId="508"/>
    <cellStyle name="説明文 2" xfId="509"/>
    <cellStyle name="通貨 2" xfId="510"/>
    <cellStyle name="通貨 2 2" xfId="511"/>
    <cellStyle name="通貨 2 2 2" xfId="512"/>
    <cellStyle name="通貨 2 2 2 2" xfId="513"/>
    <cellStyle name="通貨 2 2 2 2 2" xfId="514"/>
    <cellStyle name="通貨 2 2 2 3" xfId="515"/>
    <cellStyle name="通貨 2 2 3" xfId="516"/>
    <cellStyle name="通貨 2 2 3 2" xfId="517"/>
    <cellStyle name="通貨 2 2 4" xfId="518"/>
    <cellStyle name="通貨 2 2 4 2" xfId="519"/>
    <cellStyle name="通貨 2 2 5" xfId="520"/>
    <cellStyle name="通貨 2 3" xfId="521"/>
    <cellStyle name="通貨 2 3 2" xfId="522"/>
    <cellStyle name="通貨 2 3 2 2" xfId="523"/>
    <cellStyle name="通貨 2 3 3" xfId="524"/>
    <cellStyle name="通貨 2 3 3 2" xfId="525"/>
    <cellStyle name="通貨 2 3 4" xfId="526"/>
    <cellStyle name="通貨 2 3 4 2" xfId="527"/>
    <cellStyle name="通貨 2 3 5" xfId="528"/>
    <cellStyle name="通貨 2 4" xfId="529"/>
    <cellStyle name="通貨 2 4 2" xfId="530"/>
    <cellStyle name="通貨 2 4 2 2" xfId="531"/>
    <cellStyle name="通貨 2 4 3" xfId="532"/>
    <cellStyle name="通貨 2 5" xfId="533"/>
    <cellStyle name="通貨 2 5 2" xfId="534"/>
    <cellStyle name="通貨 2 6" xfId="535"/>
    <cellStyle name="通貨 2 6 2" xfId="536"/>
    <cellStyle name="通貨 2 7" xfId="537"/>
    <cellStyle name="入力 2" xfId="538"/>
    <cellStyle name="標準" xfId="0" builtinId="0"/>
    <cellStyle name="標準 10" xfId="539"/>
    <cellStyle name="標準 10 2" xfId="540"/>
    <cellStyle name="標準 10 2 2" xfId="541"/>
    <cellStyle name="標準 10 2 2 2" xfId="542"/>
    <cellStyle name="標準 10 2 3" xfId="543"/>
    <cellStyle name="標準 10 3" xfId="544"/>
    <cellStyle name="標準 10 3 2" xfId="545"/>
    <cellStyle name="標準 10 4" xfId="546"/>
    <cellStyle name="標準 10 4 2" xfId="547"/>
    <cellStyle name="標準 10 5" xfId="548"/>
    <cellStyle name="標準 11" xfId="549"/>
    <cellStyle name="標準 11 2" xfId="550"/>
    <cellStyle name="標準 11 2 2" xfId="551"/>
    <cellStyle name="標準 11 2 2 2" xfId="552"/>
    <cellStyle name="標準 11 2 3" xfId="553"/>
    <cellStyle name="標準 11 3" xfId="554"/>
    <cellStyle name="標準 11 3 2" xfId="555"/>
    <cellStyle name="標準 11 4" xfId="556"/>
    <cellStyle name="標準 11 4 2" xfId="557"/>
    <cellStyle name="標準 11 5" xfId="558"/>
    <cellStyle name="標準 12" xfId="559"/>
    <cellStyle name="標準 12 2" xfId="560"/>
    <cellStyle name="標準 12 2 2" xfId="561"/>
    <cellStyle name="標準 12 3" xfId="562"/>
    <cellStyle name="標準 12 3 2" xfId="563"/>
    <cellStyle name="標準 12 4" xfId="564"/>
    <cellStyle name="標準 12 4 2" xfId="565"/>
    <cellStyle name="標準 12 5" xfId="566"/>
    <cellStyle name="標準 13" xfId="567"/>
    <cellStyle name="標準 13 2" xfId="568"/>
    <cellStyle name="標準 13 2 2" xfId="569"/>
    <cellStyle name="標準 13 3" xfId="570"/>
    <cellStyle name="標準 13 3 2" xfId="571"/>
    <cellStyle name="標準 13 4" xfId="572"/>
    <cellStyle name="標準 13 4 2" xfId="573"/>
    <cellStyle name="標準 13 5" xfId="574"/>
    <cellStyle name="標準 2" xfId="1"/>
    <cellStyle name="標準 2 10" xfId="575"/>
    <cellStyle name="標準 2 11" xfId="1009"/>
    <cellStyle name="標準 2 2" xfId="576"/>
    <cellStyle name="標準 2 2 2" xfId="577"/>
    <cellStyle name="標準 2 2 2 2" xfId="578"/>
    <cellStyle name="標準 2 2 2 2 2" xfId="579"/>
    <cellStyle name="標準 2 2 2 2 2 2" xfId="580"/>
    <cellStyle name="標準 2 2 2 2 3" xfId="581"/>
    <cellStyle name="標準 2 2 2 3" xfId="582"/>
    <cellStyle name="標準 2 2 2 3 2" xfId="583"/>
    <cellStyle name="標準 2 2 2 4" xfId="584"/>
    <cellStyle name="標準 2 2 2 4 2" xfId="585"/>
    <cellStyle name="標準 2 2 2 5" xfId="586"/>
    <cellStyle name="標準 2 2 3" xfId="587"/>
    <cellStyle name="標準 2 2 3 2" xfId="588"/>
    <cellStyle name="標準 2 2 3 2 2" xfId="589"/>
    <cellStyle name="標準 2 2 3 3" xfId="590"/>
    <cellStyle name="標準 2 2 4" xfId="591"/>
    <cellStyle name="標準 2 2 4 2" xfId="592"/>
    <cellStyle name="標準 2 2 5" xfId="593"/>
    <cellStyle name="標準 2 2 5 2" xfId="594"/>
    <cellStyle name="標準 2 2 6" xfId="595"/>
    <cellStyle name="標準 2 3" xfId="596"/>
    <cellStyle name="標準 2 3 2" xfId="597"/>
    <cellStyle name="標準 2 3 2 2" xfId="598"/>
    <cellStyle name="標準 2 3 2 2 2" xfId="599"/>
    <cellStyle name="標準 2 3 2 2 2 2" xfId="600"/>
    <cellStyle name="標準 2 3 2 2 3" xfId="601"/>
    <cellStyle name="標準 2 3 2 3" xfId="602"/>
    <cellStyle name="標準 2 3 2 3 2" xfId="603"/>
    <cellStyle name="標準 2 3 2 4" xfId="604"/>
    <cellStyle name="標準 2 3 2 4 2" xfId="605"/>
    <cellStyle name="標準 2 3 2 5" xfId="606"/>
    <cellStyle name="標準 2 3 3" xfId="607"/>
    <cellStyle name="標準 2 3 3 2" xfId="608"/>
    <cellStyle name="標準 2 3 3 2 2" xfId="609"/>
    <cellStyle name="標準 2 3 3 3" xfId="610"/>
    <cellStyle name="標準 2 3 3 3 2" xfId="611"/>
    <cellStyle name="標準 2 3 3 4" xfId="612"/>
    <cellStyle name="標準 2 3 3 4 2" xfId="613"/>
    <cellStyle name="標準 2 3 3 5" xfId="614"/>
    <cellStyle name="標準 2 3 4" xfId="615"/>
    <cellStyle name="標準 2 3 4 2" xfId="616"/>
    <cellStyle name="標準 2 3 4 2 2" xfId="617"/>
    <cellStyle name="標準 2 3 4 3" xfId="618"/>
    <cellStyle name="標準 2 3 5" xfId="619"/>
    <cellStyle name="標準 2 3 5 2" xfId="620"/>
    <cellStyle name="標準 2 3 6" xfId="621"/>
    <cellStyle name="標準 2 3 6 2" xfId="622"/>
    <cellStyle name="標準 2 3 7" xfId="623"/>
    <cellStyle name="標準 2 4" xfId="624"/>
    <cellStyle name="標準 2 4 2" xfId="625"/>
    <cellStyle name="標準 2 4 2 2" xfId="626"/>
    <cellStyle name="標準 2 4 2 2 2" xfId="627"/>
    <cellStyle name="標準 2 4 2 2 2 2" xfId="628"/>
    <cellStyle name="標準 2 4 2 2 3" xfId="629"/>
    <cellStyle name="標準 2 4 2 3" xfId="630"/>
    <cellStyle name="標準 2 4 2 3 2" xfId="631"/>
    <cellStyle name="標準 2 4 2 4" xfId="632"/>
    <cellStyle name="標準 2 4 2 4 2" xfId="633"/>
    <cellStyle name="標準 2 4 2 5" xfId="634"/>
    <cellStyle name="標準 2 4 3" xfId="635"/>
    <cellStyle name="標準 2 4 3 2" xfId="636"/>
    <cellStyle name="標準 2 4 3 2 2" xfId="637"/>
    <cellStyle name="標準 2 4 3 3" xfId="638"/>
    <cellStyle name="標準 2 4 4" xfId="639"/>
    <cellStyle name="標準 2 4 4 2" xfId="640"/>
    <cellStyle name="標準 2 4 5" xfId="641"/>
    <cellStyle name="標準 2 4 5 2" xfId="642"/>
    <cellStyle name="標準 2 4 6" xfId="643"/>
    <cellStyle name="標準 2 5" xfId="644"/>
    <cellStyle name="標準 2 5 2" xfId="645"/>
    <cellStyle name="標準 2 5 2 2" xfId="646"/>
    <cellStyle name="標準 2 5 2 2 2" xfId="647"/>
    <cellStyle name="標準 2 5 2 3" xfId="648"/>
    <cellStyle name="標準 2 5 3" xfId="649"/>
    <cellStyle name="標準 2 5 3 2" xfId="650"/>
    <cellStyle name="標準 2 5 4" xfId="651"/>
    <cellStyle name="標準 2 5 4 2" xfId="652"/>
    <cellStyle name="標準 2 5 5" xfId="653"/>
    <cellStyle name="標準 2 6" xfId="654"/>
    <cellStyle name="標準 2 6 2" xfId="655"/>
    <cellStyle name="標準 2 6 2 2" xfId="656"/>
    <cellStyle name="標準 2 6 3" xfId="657"/>
    <cellStyle name="標準 2 6 3 2" xfId="658"/>
    <cellStyle name="標準 2 6 4" xfId="659"/>
    <cellStyle name="標準 2 6 4 2" xfId="660"/>
    <cellStyle name="標準 2 6 5" xfId="661"/>
    <cellStyle name="標準 2 7" xfId="662"/>
    <cellStyle name="標準 2 7 2" xfId="663"/>
    <cellStyle name="標準 2 7 2 2" xfId="664"/>
    <cellStyle name="標準 2 7 3" xfId="665"/>
    <cellStyle name="標準 2 8" xfId="666"/>
    <cellStyle name="標準 2 8 2" xfId="667"/>
    <cellStyle name="標準 2 9" xfId="668"/>
    <cellStyle name="標準 2 9 2" xfId="669"/>
    <cellStyle name="標準 3" xfId="670"/>
    <cellStyle name="標準 3 10" xfId="671"/>
    <cellStyle name="標準 3 10 2" xfId="672"/>
    <cellStyle name="標準 3 11" xfId="673"/>
    <cellStyle name="標準 3 2" xfId="674"/>
    <cellStyle name="標準 3 2 2" xfId="675"/>
    <cellStyle name="標準 3 2 2 2" xfId="676"/>
    <cellStyle name="標準 3 2 2 2 2" xfId="677"/>
    <cellStyle name="標準 3 2 2 2 2 2" xfId="678"/>
    <cellStyle name="標準 3 2 2 2 2 2 2" xfId="679"/>
    <cellStyle name="標準 3 2 2 2 2 3" xfId="680"/>
    <cellStyle name="標準 3 2 2 2 3" xfId="681"/>
    <cellStyle name="標準 3 2 2 2 3 2" xfId="682"/>
    <cellStyle name="標準 3 2 2 2 4" xfId="683"/>
    <cellStyle name="標準 3 2 2 2 4 2" xfId="684"/>
    <cellStyle name="標準 3 2 2 2 5" xfId="685"/>
    <cellStyle name="標準 3 2 2 3" xfId="686"/>
    <cellStyle name="標準 3 2 2 3 2" xfId="687"/>
    <cellStyle name="標準 3 2 2 3 2 2" xfId="688"/>
    <cellStyle name="標準 3 2 2 3 3" xfId="689"/>
    <cellStyle name="標準 3 2 2 3 3 2" xfId="690"/>
    <cellStyle name="標準 3 2 2 3 4" xfId="691"/>
    <cellStyle name="標準 3 2 2 3 4 2" xfId="692"/>
    <cellStyle name="標準 3 2 2 3 5" xfId="693"/>
    <cellStyle name="標準 3 2 2 4" xfId="694"/>
    <cellStyle name="標準 3 2 2 4 2" xfId="695"/>
    <cellStyle name="標準 3 2 2 4 2 2" xfId="696"/>
    <cellStyle name="標準 3 2 2 4 3" xfId="697"/>
    <cellStyle name="標準 3 2 2 5" xfId="698"/>
    <cellStyle name="標準 3 2 2 5 2" xfId="699"/>
    <cellStyle name="標準 3 2 2 6" xfId="700"/>
    <cellStyle name="標準 3 2 2 6 2" xfId="701"/>
    <cellStyle name="標準 3 2 2 7" xfId="702"/>
    <cellStyle name="標準 3 2 3" xfId="703"/>
    <cellStyle name="標準 3 2 3 2" xfId="704"/>
    <cellStyle name="標準 3 2 3 2 2" xfId="705"/>
    <cellStyle name="標準 3 2 3 2 2 2" xfId="706"/>
    <cellStyle name="標準 3 2 3 2 3" xfId="707"/>
    <cellStyle name="標準 3 2 3 3" xfId="708"/>
    <cellStyle name="標準 3 2 3 3 2" xfId="709"/>
    <cellStyle name="標準 3 2 3 4" xfId="710"/>
    <cellStyle name="標準 3 2 3 4 2" xfId="711"/>
    <cellStyle name="標準 3 2 3 5" xfId="712"/>
    <cellStyle name="標準 3 2 4" xfId="713"/>
    <cellStyle name="標準 3 2 4 2" xfId="714"/>
    <cellStyle name="標準 3 2 4 2 2" xfId="715"/>
    <cellStyle name="標準 3 2 4 3" xfId="716"/>
    <cellStyle name="標準 3 2 4 3 2" xfId="717"/>
    <cellStyle name="標準 3 2 4 4" xfId="718"/>
    <cellStyle name="標準 3 2 4 4 2" xfId="719"/>
    <cellStyle name="標準 3 2 4 5" xfId="720"/>
    <cellStyle name="標準 3 2 5" xfId="721"/>
    <cellStyle name="標準 3 2 5 2" xfId="722"/>
    <cellStyle name="標準 3 2 5 2 2" xfId="723"/>
    <cellStyle name="標準 3 2 5 3" xfId="724"/>
    <cellStyle name="標準 3 2 6" xfId="725"/>
    <cellStyle name="標準 3 2 6 2" xfId="726"/>
    <cellStyle name="標準 3 2 7" xfId="727"/>
    <cellStyle name="標準 3 2 7 2" xfId="728"/>
    <cellStyle name="標準 3 2 8" xfId="729"/>
    <cellStyle name="標準 3 3" xfId="730"/>
    <cellStyle name="標準 3 3 2" xfId="731"/>
    <cellStyle name="標準 3 3 2 2" xfId="732"/>
    <cellStyle name="標準 3 3 2 2 2" xfId="733"/>
    <cellStyle name="標準 3 3 2 2 2 2" xfId="734"/>
    <cellStyle name="標準 3 3 2 2 3" xfId="735"/>
    <cellStyle name="標準 3 3 2 3" xfId="736"/>
    <cellStyle name="標準 3 3 2 3 2" xfId="737"/>
    <cellStyle name="標準 3 3 2 4" xfId="738"/>
    <cellStyle name="標準 3 3 2 4 2" xfId="739"/>
    <cellStyle name="標準 3 3 2 5" xfId="740"/>
    <cellStyle name="標準 3 3 3" xfId="741"/>
    <cellStyle name="標準 3 3 3 2" xfId="742"/>
    <cellStyle name="標準 3 3 3 2 2" xfId="743"/>
    <cellStyle name="標準 3 3 3 3" xfId="744"/>
    <cellStyle name="標準 3 3 3 3 2" xfId="745"/>
    <cellStyle name="標準 3 3 3 4" xfId="746"/>
    <cellStyle name="標準 3 3 3 4 2" xfId="747"/>
    <cellStyle name="標準 3 3 3 5" xfId="748"/>
    <cellStyle name="標準 3 3 4" xfId="749"/>
    <cellStyle name="標準 3 3 4 2" xfId="750"/>
    <cellStyle name="標準 3 3 4 2 2" xfId="751"/>
    <cellStyle name="標準 3 3 4 3" xfId="752"/>
    <cellStyle name="標準 3 3 5" xfId="753"/>
    <cellStyle name="標準 3 3 5 2" xfId="754"/>
    <cellStyle name="標準 3 3 6" xfId="755"/>
    <cellStyle name="標準 3 3 6 2" xfId="756"/>
    <cellStyle name="標準 3 3 7" xfId="757"/>
    <cellStyle name="標準 3 4" xfId="758"/>
    <cellStyle name="標準 3 4 2" xfId="759"/>
    <cellStyle name="標準 3 4 2 2" xfId="760"/>
    <cellStyle name="標準 3 4 2 2 2" xfId="761"/>
    <cellStyle name="標準 3 4 2 2 2 2" xfId="762"/>
    <cellStyle name="標準 3 4 2 2 3" xfId="763"/>
    <cellStyle name="標準 3 4 2 3" xfId="764"/>
    <cellStyle name="標準 3 4 2 3 2" xfId="765"/>
    <cellStyle name="標準 3 4 2 4" xfId="766"/>
    <cellStyle name="標準 3 4 2 4 2" xfId="767"/>
    <cellStyle name="標準 3 4 2 5" xfId="768"/>
    <cellStyle name="標準 3 4 3" xfId="769"/>
    <cellStyle name="標準 3 4 3 2" xfId="770"/>
    <cellStyle name="標準 3 4 3 2 2" xfId="771"/>
    <cellStyle name="標準 3 4 3 3" xfId="772"/>
    <cellStyle name="標準 3 4 4" xfId="773"/>
    <cellStyle name="標準 3 4 4 2" xfId="774"/>
    <cellStyle name="標準 3 4 5" xfId="775"/>
    <cellStyle name="標準 3 4 5 2" xfId="776"/>
    <cellStyle name="標準 3 4 6" xfId="777"/>
    <cellStyle name="標準 3 5" xfId="778"/>
    <cellStyle name="標準 3 5 2" xfId="779"/>
    <cellStyle name="標準 3 5 2 2" xfId="780"/>
    <cellStyle name="標準 3 5 2 2 2" xfId="781"/>
    <cellStyle name="標準 3 5 2 3" xfId="782"/>
    <cellStyle name="標準 3 5 3" xfId="783"/>
    <cellStyle name="標準 3 5 3 2" xfId="784"/>
    <cellStyle name="標準 3 5 4" xfId="785"/>
    <cellStyle name="標準 3 5 4 2" xfId="786"/>
    <cellStyle name="標準 3 5 5" xfId="787"/>
    <cellStyle name="標準 3 6" xfId="788"/>
    <cellStyle name="標準 3 6 2" xfId="789"/>
    <cellStyle name="標準 3 6 2 2" xfId="790"/>
    <cellStyle name="標準 3 6 3" xfId="791"/>
    <cellStyle name="標準 3 6 3 2" xfId="792"/>
    <cellStyle name="標準 3 6 4" xfId="793"/>
    <cellStyle name="標準 3 6 4 2" xfId="794"/>
    <cellStyle name="標準 3 6 5" xfId="795"/>
    <cellStyle name="標準 3 7" xfId="796"/>
    <cellStyle name="標準 3 7 2" xfId="797"/>
    <cellStyle name="標準 3 7 2 2" xfId="798"/>
    <cellStyle name="標準 3 7 3" xfId="799"/>
    <cellStyle name="標準 3 7 3 2" xfId="800"/>
    <cellStyle name="標準 3 7 4" xfId="801"/>
    <cellStyle name="標準 3 7 4 2" xfId="802"/>
    <cellStyle name="標準 3 7 5" xfId="803"/>
    <cellStyle name="標準 3 8" xfId="804"/>
    <cellStyle name="標準 3 8 2" xfId="805"/>
    <cellStyle name="標準 3 8 2 2" xfId="806"/>
    <cellStyle name="標準 3 8 3" xfId="807"/>
    <cellStyle name="標準 3 9" xfId="808"/>
    <cellStyle name="標準 3 9 2" xfId="809"/>
    <cellStyle name="標準 4" xfId="810"/>
    <cellStyle name="標準 4 2" xfId="811"/>
    <cellStyle name="標準 5" xfId="812"/>
    <cellStyle name="標準 5 2" xfId="813"/>
    <cellStyle name="標準 5 2 2" xfId="814"/>
    <cellStyle name="標準 5 2 2 2" xfId="815"/>
    <cellStyle name="標準 5 2 2 2 2" xfId="816"/>
    <cellStyle name="標準 5 2 2 2 2 2" xfId="817"/>
    <cellStyle name="標準 5 2 2 2 3" xfId="818"/>
    <cellStyle name="標準 5 2 2 3" xfId="819"/>
    <cellStyle name="標準 5 2 2 3 2" xfId="820"/>
    <cellStyle name="標準 5 2 2 4" xfId="821"/>
    <cellStyle name="標準 5 2 2 4 2" xfId="822"/>
    <cellStyle name="標準 5 2 2 5" xfId="823"/>
    <cellStyle name="標準 5 2 3" xfId="824"/>
    <cellStyle name="標準 5 2 3 2" xfId="825"/>
    <cellStyle name="標準 5 2 3 2 2" xfId="826"/>
    <cellStyle name="標準 5 2 3 3" xfId="827"/>
    <cellStyle name="標準 5 2 3 3 2" xfId="828"/>
    <cellStyle name="標準 5 2 3 4" xfId="829"/>
    <cellStyle name="標準 5 2 3 4 2" xfId="830"/>
    <cellStyle name="標準 5 2 3 5" xfId="831"/>
    <cellStyle name="標準 5 2 4" xfId="832"/>
    <cellStyle name="標準 5 2 4 2" xfId="833"/>
    <cellStyle name="標準 5 2 4 2 2" xfId="834"/>
    <cellStyle name="標準 5 2 4 3" xfId="835"/>
    <cellStyle name="標準 5 2 5" xfId="836"/>
    <cellStyle name="標準 5 2 5 2" xfId="837"/>
    <cellStyle name="標準 5 2 6" xfId="838"/>
    <cellStyle name="標準 5 2 6 2" xfId="839"/>
    <cellStyle name="標準 5 2 7" xfId="840"/>
    <cellStyle name="標準 5 3" xfId="841"/>
    <cellStyle name="標準 5 3 2" xfId="842"/>
    <cellStyle name="標準 5 3 2 2" xfId="843"/>
    <cellStyle name="標準 5 3 2 2 2" xfId="844"/>
    <cellStyle name="標準 5 3 2 3" xfId="845"/>
    <cellStyle name="標準 5 3 3" xfId="846"/>
    <cellStyle name="標準 5 3 3 2" xfId="847"/>
    <cellStyle name="標準 5 3 4" xfId="848"/>
    <cellStyle name="標準 5 3 4 2" xfId="849"/>
    <cellStyle name="標準 5 3 5" xfId="850"/>
    <cellStyle name="標準 5 4" xfId="851"/>
    <cellStyle name="標準 5 4 2" xfId="852"/>
    <cellStyle name="標準 5 4 2 2" xfId="853"/>
    <cellStyle name="標準 5 4 3" xfId="854"/>
    <cellStyle name="標準 5 4 3 2" xfId="855"/>
    <cellStyle name="標準 5 4 4" xfId="856"/>
    <cellStyle name="標準 5 4 4 2" xfId="857"/>
    <cellStyle name="標準 5 4 5" xfId="858"/>
    <cellStyle name="標準 5 5" xfId="859"/>
    <cellStyle name="標準 5 5 2" xfId="860"/>
    <cellStyle name="標準 5 5 2 2" xfId="861"/>
    <cellStyle name="標準 5 5 3" xfId="862"/>
    <cellStyle name="標準 5 6" xfId="863"/>
    <cellStyle name="標準 5 6 2" xfId="864"/>
    <cellStyle name="標準 5 7" xfId="865"/>
    <cellStyle name="標準 5 7 2" xfId="866"/>
    <cellStyle name="標準 5 8" xfId="867"/>
    <cellStyle name="標準 6" xfId="868"/>
    <cellStyle name="標準 6 2" xfId="869"/>
    <cellStyle name="標準 6 2 2" xfId="3"/>
    <cellStyle name="標準 6 2 2 2" xfId="870"/>
    <cellStyle name="標準 6 2 2 2 2" xfId="871"/>
    <cellStyle name="標準 6 2 2 2 2 2" xfId="872"/>
    <cellStyle name="標準 6 2 2 2 3" xfId="873"/>
    <cellStyle name="標準 6 2 2 3" xfId="874"/>
    <cellStyle name="標準 6 2 2 3 2" xfId="875"/>
    <cellStyle name="標準 6 2 2 4" xfId="876"/>
    <cellStyle name="標準 6 2 2 4 2" xfId="877"/>
    <cellStyle name="標準 6 2 2 5" xfId="878"/>
    <cellStyle name="標準 6 2 3" xfId="879"/>
    <cellStyle name="標準 6 2 3 2" xfId="880"/>
    <cellStyle name="標準 6 2 3 2 2" xfId="881"/>
    <cellStyle name="標準 6 2 3 3" xfId="882"/>
    <cellStyle name="標準 6 2 3 3 2" xfId="883"/>
    <cellStyle name="標準 6 2 3 4" xfId="884"/>
    <cellStyle name="標準 6 2 3 4 2" xfId="885"/>
    <cellStyle name="標準 6 2 3 5" xfId="886"/>
    <cellStyle name="標準 6 2 4" xfId="887"/>
    <cellStyle name="標準 6 2 4 2" xfId="888"/>
    <cellStyle name="標準 6 2 4 2 2" xfId="889"/>
    <cellStyle name="標準 6 2 4 3" xfId="890"/>
    <cellStyle name="標準 6 2 5" xfId="891"/>
    <cellStyle name="標準 6 2 5 2" xfId="892"/>
    <cellStyle name="標準 6 2 6" xfId="893"/>
    <cellStyle name="標準 6 2 6 2" xfId="894"/>
    <cellStyle name="標準 6 2 7" xfId="895"/>
    <cellStyle name="標準 6 3" xfId="896"/>
    <cellStyle name="標準 6 3 2" xfId="897"/>
    <cellStyle name="標準 6 3 2 2" xfId="898"/>
    <cellStyle name="標準 6 3 2 2 2" xfId="899"/>
    <cellStyle name="標準 6 3 2 3" xfId="900"/>
    <cellStyle name="標準 6 3 3" xfId="901"/>
    <cellStyle name="標準 6 3 3 2" xfId="902"/>
    <cellStyle name="標準 6 3 4" xfId="903"/>
    <cellStyle name="標準 6 3 4 2" xfId="904"/>
    <cellStyle name="標準 6 3 5" xfId="905"/>
    <cellStyle name="標準 6 4" xfId="906"/>
    <cellStyle name="標準 6 4 2" xfId="907"/>
    <cellStyle name="標準 6 4 2 2" xfId="908"/>
    <cellStyle name="標準 6 4 3" xfId="909"/>
    <cellStyle name="標準 6 4 3 2" xfId="910"/>
    <cellStyle name="標準 6 4 4" xfId="911"/>
    <cellStyle name="標準 6 4 4 2" xfId="912"/>
    <cellStyle name="標準 6 4 5" xfId="913"/>
    <cellStyle name="標準 6 5" xfId="914"/>
    <cellStyle name="標準 6 5 2" xfId="915"/>
    <cellStyle name="標準 6 5 2 2" xfId="916"/>
    <cellStyle name="標準 6 5 3" xfId="917"/>
    <cellStyle name="標準 6 6" xfId="918"/>
    <cellStyle name="標準 6 6 2" xfId="919"/>
    <cellStyle name="標準 6 7" xfId="920"/>
    <cellStyle name="標準 6 7 2" xfId="921"/>
    <cellStyle name="標準 6 8" xfId="922"/>
    <cellStyle name="標準 7" xfId="923"/>
    <cellStyle name="標準 7 2" xfId="924"/>
    <cellStyle name="標準 7 2 2" xfId="925"/>
    <cellStyle name="標準 7 2 2 2" xfId="926"/>
    <cellStyle name="標準 7 2 2 2 2" xfId="927"/>
    <cellStyle name="標準 7 2 2 2 2 2" xfId="928"/>
    <cellStyle name="標準 7 2 2 2 3" xfId="929"/>
    <cellStyle name="標準 7 2 2 3" xfId="930"/>
    <cellStyle name="標準 7 2 2 3 2" xfId="931"/>
    <cellStyle name="標準 7 2 2 4" xfId="932"/>
    <cellStyle name="標準 7 2 2 4 2" xfId="933"/>
    <cellStyle name="標準 7 2 2 5" xfId="934"/>
    <cellStyle name="標準 7 2 3" xfId="935"/>
    <cellStyle name="標準 7 2 3 2" xfId="936"/>
    <cellStyle name="標準 7 2 3 2 2" xfId="937"/>
    <cellStyle name="標準 7 2 3 3" xfId="938"/>
    <cellStyle name="標準 7 2 3 3 2" xfId="939"/>
    <cellStyle name="標準 7 2 3 4" xfId="940"/>
    <cellStyle name="標準 7 2 3 4 2" xfId="941"/>
    <cellStyle name="標準 7 2 3 5" xfId="942"/>
    <cellStyle name="標準 7 2 4" xfId="943"/>
    <cellStyle name="標準 7 2 4 2" xfId="944"/>
    <cellStyle name="標準 7 2 4 2 2" xfId="945"/>
    <cellStyle name="標準 7 2 4 3" xfId="946"/>
    <cellStyle name="標準 7 2 5" xfId="947"/>
    <cellStyle name="標準 7 2 5 2" xfId="948"/>
    <cellStyle name="標準 7 2 6" xfId="949"/>
    <cellStyle name="標準 7 2 6 2" xfId="950"/>
    <cellStyle name="標準 7 2 7" xfId="951"/>
    <cellStyle name="標準 7 3" xfId="952"/>
    <cellStyle name="標準 7 3 2" xfId="953"/>
    <cellStyle name="標準 7 3 2 2" xfId="954"/>
    <cellStyle name="標準 7 3 2 2 2" xfId="955"/>
    <cellStyle name="標準 7 3 2 3" xfId="956"/>
    <cellStyle name="標準 7 3 3" xfId="957"/>
    <cellStyle name="標準 7 3 3 2" xfId="958"/>
    <cellStyle name="標準 7 3 4" xfId="959"/>
    <cellStyle name="標準 7 3 4 2" xfId="960"/>
    <cellStyle name="標準 7 3 5" xfId="961"/>
    <cellStyle name="標準 7 4" xfId="962"/>
    <cellStyle name="標準 7 4 2" xfId="963"/>
    <cellStyle name="標準 7 4 2 2" xfId="964"/>
    <cellStyle name="標準 7 4 3" xfId="965"/>
    <cellStyle name="標準 7 4 3 2" xfId="966"/>
    <cellStyle name="標準 7 4 4" xfId="967"/>
    <cellStyle name="標準 7 4 4 2" xfId="968"/>
    <cellStyle name="標準 7 4 5" xfId="969"/>
    <cellStyle name="標準 7 5" xfId="970"/>
    <cellStyle name="標準 7 5 2" xfId="971"/>
    <cellStyle name="標準 7 5 2 2" xfId="972"/>
    <cellStyle name="標準 7 5 3" xfId="973"/>
    <cellStyle name="標準 7 6" xfId="974"/>
    <cellStyle name="標準 7 6 2" xfId="975"/>
    <cellStyle name="標準 7 7" xfId="976"/>
    <cellStyle name="標準 7 7 2" xfId="977"/>
    <cellStyle name="標準 7 8" xfId="978"/>
    <cellStyle name="標準 8" xfId="979"/>
    <cellStyle name="標準 8 2" xfId="980"/>
    <cellStyle name="標準 8 2 2" xfId="981"/>
    <cellStyle name="標準 8 2 2 2" xfId="982"/>
    <cellStyle name="標準 8 2 2 2 2" xfId="983"/>
    <cellStyle name="標準 8 2 2 3" xfId="984"/>
    <cellStyle name="標準 8 2 3" xfId="985"/>
    <cellStyle name="標準 8 2 3 2" xfId="986"/>
    <cellStyle name="標準 8 2 4" xfId="987"/>
    <cellStyle name="標準 8 2 4 2" xfId="988"/>
    <cellStyle name="標準 8 2 5" xfId="989"/>
    <cellStyle name="標準 8 3" xfId="990"/>
    <cellStyle name="標準 8 3 2" xfId="991"/>
    <cellStyle name="標準 8 3 2 2" xfId="992"/>
    <cellStyle name="標準 8 3 3" xfId="993"/>
    <cellStyle name="標準 8 3 3 2" xfId="994"/>
    <cellStyle name="標準 8 3 4" xfId="995"/>
    <cellStyle name="標準 8 3 4 2" xfId="996"/>
    <cellStyle name="標準 8 3 5" xfId="997"/>
    <cellStyle name="標準 8 4" xfId="998"/>
    <cellStyle name="標準 8 4 2" xfId="999"/>
    <cellStyle name="標準 8 4 2 2" xfId="1000"/>
    <cellStyle name="標準 8 4 3" xfId="1001"/>
    <cellStyle name="標準 8 5" xfId="1002"/>
    <cellStyle name="標準 8 5 2" xfId="1003"/>
    <cellStyle name="標準 8 6" xfId="1004"/>
    <cellStyle name="標準 8 6 2" xfId="1005"/>
    <cellStyle name="標準 8 7" xfId="1006"/>
    <cellStyle name="標準 9" xfId="1007"/>
    <cellStyle name="良い 2" xfId="1008"/>
  </cellStyles>
  <dxfs count="0"/>
  <tableStyles count="0" defaultTableStyle="TableStyleMedium2" defaultPivotStyle="PivotStyleLight16"/>
  <colors>
    <mruColors>
      <color rgb="FFFFFFCC"/>
      <color rgb="FFFF6600"/>
      <color rgb="FFFFCCFF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20</xdr:col>
      <xdr:colOff>114300</xdr:colOff>
      <xdr:row>3</xdr:row>
      <xdr:rowOff>100293</xdr:rowOff>
    </xdr:to>
    <xdr:grpSp>
      <xdr:nvGrpSpPr>
        <xdr:cNvPr id="2" name="グループ化 1"/>
        <xdr:cNvGrpSpPr/>
      </xdr:nvGrpSpPr>
      <xdr:grpSpPr>
        <a:xfrm>
          <a:off x="2409825" y="342900"/>
          <a:ext cx="3790950" cy="271743"/>
          <a:chOff x="2763371" y="142875"/>
          <a:chExt cx="3075454" cy="276225"/>
        </a:xfrm>
      </xdr:grpSpPr>
      <xdr:sp macro="" textlink="">
        <xdr:nvSpPr>
          <xdr:cNvPr id="3" name="正方形/長方形 2"/>
          <xdr:cNvSpPr/>
        </xdr:nvSpPr>
        <xdr:spPr>
          <a:xfrm>
            <a:off x="2763371" y="184336"/>
            <a:ext cx="493059" cy="156882"/>
          </a:xfrm>
          <a:prstGeom prst="rect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3305175" y="142875"/>
            <a:ext cx="2533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：手入力又はプルダウンﾆより入力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必須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)</a:t>
            </a:r>
            <a:endPara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2057400</xdr:colOff>
      <xdr:row>9</xdr:row>
      <xdr:rowOff>152400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835342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89</xdr:row>
      <xdr:rowOff>152400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8530478" y="19005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163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8631331" y="252199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163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8631331" y="252199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111</xdr:row>
      <xdr:rowOff>152400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8631331" y="252199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117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8631331" y="322348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111</xdr:row>
      <xdr:rowOff>152400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8631331" y="35058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89</xdr:row>
      <xdr:rowOff>152400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8631331" y="35058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120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8631331" y="35058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121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8631331" y="3551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122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8631331" y="355114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2057400</xdr:colOff>
      <xdr:row>123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8631331" y="35757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156882</xdr:colOff>
      <xdr:row>0</xdr:row>
      <xdr:rowOff>0</xdr:rowOff>
    </xdr:from>
    <xdr:to>
      <xdr:col>5</xdr:col>
      <xdr:colOff>285750</xdr:colOff>
      <xdr:row>0</xdr:row>
      <xdr:rowOff>271743</xdr:rowOff>
    </xdr:to>
    <xdr:grpSp>
      <xdr:nvGrpSpPr>
        <xdr:cNvPr id="14" name="グループ化 13"/>
        <xdr:cNvGrpSpPr/>
      </xdr:nvGrpSpPr>
      <xdr:grpSpPr>
        <a:xfrm>
          <a:off x="2902323" y="0"/>
          <a:ext cx="3076015" cy="271743"/>
          <a:chOff x="2763371" y="142875"/>
          <a:chExt cx="3075454" cy="276225"/>
        </a:xfrm>
      </xdr:grpSpPr>
      <xdr:sp macro="" textlink="">
        <xdr:nvSpPr>
          <xdr:cNvPr id="15" name="正方形/長方形 14"/>
          <xdr:cNvSpPr/>
        </xdr:nvSpPr>
        <xdr:spPr>
          <a:xfrm>
            <a:off x="2763371" y="184336"/>
            <a:ext cx="493059" cy="156882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Text Box 4"/>
          <xdr:cNvSpPr txBox="1">
            <a:spLocks noChangeArrowheads="1"/>
          </xdr:cNvSpPr>
        </xdr:nvSpPr>
        <xdr:spPr bwMode="auto">
          <a:xfrm>
            <a:off x="3305175" y="142875"/>
            <a:ext cx="2533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：手入力による変更入力可能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587460</xdr:colOff>
      <xdr:row>6</xdr:row>
      <xdr:rowOff>69453</xdr:rowOff>
    </xdr:from>
    <xdr:to>
      <xdr:col>8</xdr:col>
      <xdr:colOff>734219</xdr:colOff>
      <xdr:row>8</xdr:row>
      <xdr:rowOff>109140</xdr:rowOff>
    </xdr:to>
    <xdr:sp macro="" textlink="">
      <xdr:nvSpPr>
        <xdr:cNvPr id="2" name="テキスト ボックス 82"/>
        <xdr:cNvSpPr txBox="1"/>
      </xdr:nvSpPr>
      <xdr:spPr>
        <a:xfrm>
          <a:off x="11684085" y="4622403"/>
          <a:ext cx="832559" cy="4397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脱水機</a:t>
          </a:r>
        </a:p>
      </xdr:txBody>
    </xdr:sp>
    <xdr:clientData/>
  </xdr:twoCellAnchor>
  <xdr:twoCellAnchor>
    <xdr:from>
      <xdr:col>2</xdr:col>
      <xdr:colOff>805664</xdr:colOff>
      <xdr:row>7</xdr:row>
      <xdr:rowOff>86849</xdr:rowOff>
    </xdr:from>
    <xdr:to>
      <xdr:col>7</xdr:col>
      <xdr:colOff>538664</xdr:colOff>
      <xdr:row>7</xdr:row>
      <xdr:rowOff>86849</xdr:rowOff>
    </xdr:to>
    <xdr:cxnSp macro="">
      <xdr:nvCxnSpPr>
        <xdr:cNvPr id="11" name="直線矢印コネクタ 10"/>
        <xdr:cNvCxnSpPr/>
      </xdr:nvCxnSpPr>
      <xdr:spPr>
        <a:xfrm>
          <a:off x="7739864" y="1445749"/>
          <a:ext cx="3924000" cy="0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734219</xdr:colOff>
      <xdr:row>7</xdr:row>
      <xdr:rowOff>86759</xdr:rowOff>
    </xdr:from>
    <xdr:to>
      <xdr:col>10</xdr:col>
      <xdr:colOff>388370</xdr:colOff>
      <xdr:row>7</xdr:row>
      <xdr:rowOff>89297</xdr:rowOff>
    </xdr:to>
    <xdr:cxnSp macro="">
      <xdr:nvCxnSpPr>
        <xdr:cNvPr id="12" name="直線矢印コネクタ 11"/>
        <xdr:cNvCxnSpPr>
          <a:stCxn id="2" idx="3"/>
          <a:endCxn id="19" idx="1"/>
        </xdr:cNvCxnSpPr>
      </xdr:nvCxnSpPr>
      <xdr:spPr>
        <a:xfrm flipV="1">
          <a:off x="12516644" y="4839734"/>
          <a:ext cx="1902051" cy="2538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1158272</xdr:colOff>
      <xdr:row>5</xdr:row>
      <xdr:rowOff>134102</xdr:rowOff>
    </xdr:from>
    <xdr:to>
      <xdr:col>9</xdr:col>
      <xdr:colOff>931864</xdr:colOff>
      <xdr:row>7</xdr:row>
      <xdr:rowOff>82288</xdr:rowOff>
    </xdr:to>
    <xdr:sp macro="" textlink="">
      <xdr:nvSpPr>
        <xdr:cNvPr id="13" name="テキスト ボックス 116"/>
        <xdr:cNvSpPr txBox="1"/>
      </xdr:nvSpPr>
      <xdr:spPr>
        <a:xfrm>
          <a:off x="12940697" y="4487027"/>
          <a:ext cx="964217" cy="34823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脱水汚泥</a:t>
          </a:r>
        </a:p>
      </xdr:txBody>
    </xdr:sp>
    <xdr:clientData/>
  </xdr:twoCellAnchor>
  <xdr:twoCellAnchor>
    <xdr:from>
      <xdr:col>5</xdr:col>
      <xdr:colOff>393700</xdr:colOff>
      <xdr:row>5</xdr:row>
      <xdr:rowOff>138906</xdr:rowOff>
    </xdr:from>
    <xdr:to>
      <xdr:col>6</xdr:col>
      <xdr:colOff>751227</xdr:colOff>
      <xdr:row>7</xdr:row>
      <xdr:rowOff>57723</xdr:rowOff>
    </xdr:to>
    <xdr:sp macro="" textlink="">
      <xdr:nvSpPr>
        <xdr:cNvPr id="16" name="テキスト ボックス 87"/>
        <xdr:cNvSpPr txBox="1"/>
      </xdr:nvSpPr>
      <xdr:spPr>
        <a:xfrm>
          <a:off x="9118600" y="1091406"/>
          <a:ext cx="751227" cy="325217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脱水機投入汚泥</a:t>
          </a:r>
        </a:p>
      </xdr:txBody>
    </xdr:sp>
    <xdr:clientData/>
  </xdr:twoCellAnchor>
  <xdr:twoCellAnchor>
    <xdr:from>
      <xdr:col>10</xdr:col>
      <xdr:colOff>388370</xdr:colOff>
      <xdr:row>6</xdr:row>
      <xdr:rowOff>68783</xdr:rowOff>
    </xdr:from>
    <xdr:to>
      <xdr:col>11</xdr:col>
      <xdr:colOff>398292</xdr:colOff>
      <xdr:row>8</xdr:row>
      <xdr:rowOff>104734</xdr:rowOff>
    </xdr:to>
    <xdr:sp macro="" textlink="">
      <xdr:nvSpPr>
        <xdr:cNvPr id="19" name="テキスト ボックス 83"/>
        <xdr:cNvSpPr txBox="1"/>
      </xdr:nvSpPr>
      <xdr:spPr>
        <a:xfrm>
          <a:off x="14418695" y="4621733"/>
          <a:ext cx="819547" cy="43600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処分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587460</xdr:colOff>
      <xdr:row>23</xdr:row>
      <xdr:rowOff>69453</xdr:rowOff>
    </xdr:from>
    <xdr:to>
      <xdr:col>8</xdr:col>
      <xdr:colOff>734219</xdr:colOff>
      <xdr:row>25</xdr:row>
      <xdr:rowOff>109140</xdr:rowOff>
    </xdr:to>
    <xdr:sp macro="" textlink="">
      <xdr:nvSpPr>
        <xdr:cNvPr id="2" name="テキスト ボックス 82"/>
        <xdr:cNvSpPr txBox="1"/>
      </xdr:nvSpPr>
      <xdr:spPr>
        <a:xfrm>
          <a:off x="11684085" y="4622403"/>
          <a:ext cx="832559" cy="4397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脱水機</a:t>
          </a:r>
        </a:p>
      </xdr:txBody>
    </xdr:sp>
    <xdr:clientData/>
  </xdr:twoCellAnchor>
  <xdr:twoCellAnchor>
    <xdr:from>
      <xdr:col>9</xdr:col>
      <xdr:colOff>147723</xdr:colOff>
      <xdr:row>13</xdr:row>
      <xdr:rowOff>66341</xdr:rowOff>
    </xdr:from>
    <xdr:to>
      <xdr:col>10</xdr:col>
      <xdr:colOff>267890</xdr:colOff>
      <xdr:row>15</xdr:row>
      <xdr:rowOff>33767</xdr:rowOff>
    </xdr:to>
    <xdr:sp macro="" textlink="">
      <xdr:nvSpPr>
        <xdr:cNvPr id="3" name="テキスト ボックス 84"/>
        <xdr:cNvSpPr txBox="1"/>
      </xdr:nvSpPr>
      <xdr:spPr>
        <a:xfrm>
          <a:off x="13120773" y="2619041"/>
          <a:ext cx="1177442" cy="36747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発電設備</a:t>
          </a:r>
        </a:p>
      </xdr:txBody>
    </xdr:sp>
    <xdr:clientData/>
  </xdr:twoCellAnchor>
  <xdr:twoCellAnchor>
    <xdr:from>
      <xdr:col>3</xdr:col>
      <xdr:colOff>6994</xdr:colOff>
      <xdr:row>24</xdr:row>
      <xdr:rowOff>134069</xdr:rowOff>
    </xdr:from>
    <xdr:to>
      <xdr:col>3</xdr:col>
      <xdr:colOff>525251</xdr:colOff>
      <xdr:row>24</xdr:row>
      <xdr:rowOff>134072</xdr:rowOff>
    </xdr:to>
    <xdr:cxnSp macro="">
      <xdr:nvCxnSpPr>
        <xdr:cNvPr id="4" name="直線矢印コネクタ 3"/>
        <xdr:cNvCxnSpPr/>
      </xdr:nvCxnSpPr>
      <xdr:spPr>
        <a:xfrm flipV="1">
          <a:off x="7731769" y="4887044"/>
          <a:ext cx="518257" cy="3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190008</xdr:colOff>
      <xdr:row>12</xdr:row>
      <xdr:rowOff>163190</xdr:rowOff>
    </xdr:from>
    <xdr:to>
      <xdr:col>8</xdr:col>
      <xdr:colOff>1111250</xdr:colOff>
      <xdr:row>14</xdr:row>
      <xdr:rowOff>80193</xdr:rowOff>
    </xdr:to>
    <xdr:sp macro="" textlink="">
      <xdr:nvSpPr>
        <xdr:cNvPr id="5" name="テキスト ボックス 87"/>
        <xdr:cNvSpPr txBox="1"/>
      </xdr:nvSpPr>
      <xdr:spPr>
        <a:xfrm>
          <a:off x="11972433" y="2515865"/>
          <a:ext cx="921242" cy="317053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排熱利用</a:t>
          </a:r>
        </a:p>
      </xdr:txBody>
    </xdr:sp>
    <xdr:clientData/>
  </xdr:twoCellAnchor>
  <xdr:twoCellAnchor>
    <xdr:from>
      <xdr:col>5</xdr:col>
      <xdr:colOff>588624</xdr:colOff>
      <xdr:row>11</xdr:row>
      <xdr:rowOff>181428</xdr:rowOff>
    </xdr:from>
    <xdr:to>
      <xdr:col>7</xdr:col>
      <xdr:colOff>514350</xdr:colOff>
      <xdr:row>15</xdr:row>
      <xdr:rowOff>79375</xdr:rowOff>
    </xdr:to>
    <xdr:sp macro="" textlink="">
      <xdr:nvSpPr>
        <xdr:cNvPr id="6" name="テキスト ボックス 88"/>
        <xdr:cNvSpPr txBox="1"/>
      </xdr:nvSpPr>
      <xdr:spPr>
        <a:xfrm>
          <a:off x="9684999" y="2334078"/>
          <a:ext cx="1925976" cy="69804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ボイラ・熱交換器　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温水器</a:t>
          </a:r>
        </a:p>
      </xdr:txBody>
    </xdr:sp>
    <xdr:clientData/>
  </xdr:twoCellAnchor>
  <xdr:twoCellAnchor>
    <xdr:from>
      <xdr:col>4</xdr:col>
      <xdr:colOff>219507</xdr:colOff>
      <xdr:row>9</xdr:row>
      <xdr:rowOff>110290</xdr:rowOff>
    </xdr:from>
    <xdr:to>
      <xdr:col>4</xdr:col>
      <xdr:colOff>238237</xdr:colOff>
      <xdr:row>23</xdr:row>
      <xdr:rowOff>66676</xdr:rowOff>
    </xdr:to>
    <xdr:cxnSp macro="">
      <xdr:nvCxnSpPr>
        <xdr:cNvPr id="7" name="直線コネクタ 6"/>
        <xdr:cNvCxnSpPr/>
      </xdr:nvCxnSpPr>
      <xdr:spPr>
        <a:xfrm flipV="1">
          <a:off x="8630082" y="1862890"/>
          <a:ext cx="18730" cy="2756736"/>
        </a:xfrm>
        <a:prstGeom prst="line">
          <a:avLst/>
        </a:prstGeom>
        <a:ln w="38100">
          <a:solidFill>
            <a:srgbClr val="FFC000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9</xdr:row>
      <xdr:rowOff>123825</xdr:rowOff>
    </xdr:from>
    <xdr:to>
      <xdr:col>9</xdr:col>
      <xdr:colOff>689178</xdr:colOff>
      <xdr:row>13</xdr:row>
      <xdr:rowOff>66341</xdr:rowOff>
    </xdr:to>
    <xdr:cxnSp macro="">
      <xdr:nvCxnSpPr>
        <xdr:cNvPr id="8" name="図形 37"/>
        <xdr:cNvCxnSpPr>
          <a:endCxn id="3" idx="0"/>
        </xdr:cNvCxnSpPr>
      </xdr:nvCxnSpPr>
      <xdr:spPr>
        <a:xfrm>
          <a:off x="8648700" y="1876425"/>
          <a:ext cx="5013528" cy="742616"/>
        </a:xfrm>
        <a:prstGeom prst="bentConnector2">
          <a:avLst/>
        </a:prstGeom>
        <a:ln w="38100">
          <a:solidFill>
            <a:srgbClr val="FFC000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514350</xdr:colOff>
      <xdr:row>14</xdr:row>
      <xdr:rowOff>61325</xdr:rowOff>
    </xdr:from>
    <xdr:to>
      <xdr:col>9</xdr:col>
      <xdr:colOff>160534</xdr:colOff>
      <xdr:row>14</xdr:row>
      <xdr:rowOff>61325</xdr:rowOff>
    </xdr:to>
    <xdr:cxnSp macro="">
      <xdr:nvCxnSpPr>
        <xdr:cNvPr id="9" name="直線矢印コネクタ 8"/>
        <xdr:cNvCxnSpPr/>
      </xdr:nvCxnSpPr>
      <xdr:spPr>
        <a:xfrm flipH="1">
          <a:off x="11610975" y="2814050"/>
          <a:ext cx="1522609" cy="0"/>
        </a:xfrm>
        <a:prstGeom prst="straightConnector1">
          <a:avLst/>
        </a:prstGeom>
        <a:ln w="38100">
          <a:solidFill>
            <a:schemeClr val="accent4">
              <a:lumMod val="75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514355</xdr:colOff>
      <xdr:row>9</xdr:row>
      <xdr:rowOff>123824</xdr:rowOff>
    </xdr:from>
    <xdr:to>
      <xdr:col>9</xdr:col>
      <xdr:colOff>19051</xdr:colOff>
      <xdr:row>12</xdr:row>
      <xdr:rowOff>95247</xdr:rowOff>
    </xdr:to>
    <xdr:cxnSp macro="">
      <xdr:nvCxnSpPr>
        <xdr:cNvPr id="10" name="カギ線コネクタ 9"/>
        <xdr:cNvCxnSpPr/>
      </xdr:nvCxnSpPr>
      <xdr:spPr>
        <a:xfrm rot="10800000" flipV="1">
          <a:off x="11610980" y="1876424"/>
          <a:ext cx="1381121" cy="571498"/>
        </a:xfrm>
        <a:prstGeom prst="bentConnector3">
          <a:avLst>
            <a:gd name="adj1" fmla="val 23333"/>
          </a:avLst>
        </a:prstGeom>
        <a:ln w="38100">
          <a:solidFill>
            <a:srgbClr val="FFC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310364</xdr:colOff>
      <xdr:row>24</xdr:row>
      <xdr:rowOff>86849</xdr:rowOff>
    </xdr:from>
    <xdr:to>
      <xdr:col>7</xdr:col>
      <xdr:colOff>577538</xdr:colOff>
      <xdr:row>24</xdr:row>
      <xdr:rowOff>95967</xdr:rowOff>
    </xdr:to>
    <xdr:cxnSp macro="">
      <xdr:nvCxnSpPr>
        <xdr:cNvPr id="11" name="直線矢印コネクタ 10"/>
        <xdr:cNvCxnSpPr>
          <a:stCxn id="14" idx="3"/>
        </xdr:cNvCxnSpPr>
      </xdr:nvCxnSpPr>
      <xdr:spPr>
        <a:xfrm>
          <a:off x="9406739" y="4839824"/>
          <a:ext cx="2267424" cy="9118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734219</xdr:colOff>
      <xdr:row>24</xdr:row>
      <xdr:rowOff>86759</xdr:rowOff>
    </xdr:from>
    <xdr:to>
      <xdr:col>10</xdr:col>
      <xdr:colOff>388370</xdr:colOff>
      <xdr:row>24</xdr:row>
      <xdr:rowOff>89297</xdr:rowOff>
    </xdr:to>
    <xdr:cxnSp macro="">
      <xdr:nvCxnSpPr>
        <xdr:cNvPr id="12" name="直線矢印コネクタ 11"/>
        <xdr:cNvCxnSpPr>
          <a:stCxn id="2" idx="3"/>
          <a:endCxn id="19" idx="1"/>
        </xdr:cNvCxnSpPr>
      </xdr:nvCxnSpPr>
      <xdr:spPr>
        <a:xfrm flipV="1">
          <a:off x="12516644" y="4839734"/>
          <a:ext cx="1902051" cy="2538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1158272</xdr:colOff>
      <xdr:row>22</xdr:row>
      <xdr:rowOff>134102</xdr:rowOff>
    </xdr:from>
    <xdr:to>
      <xdr:col>9</xdr:col>
      <xdr:colOff>931864</xdr:colOff>
      <xdr:row>24</xdr:row>
      <xdr:rowOff>82288</xdr:rowOff>
    </xdr:to>
    <xdr:sp macro="" textlink="">
      <xdr:nvSpPr>
        <xdr:cNvPr id="13" name="テキスト ボックス 116"/>
        <xdr:cNvSpPr txBox="1"/>
      </xdr:nvSpPr>
      <xdr:spPr>
        <a:xfrm>
          <a:off x="12940697" y="4487027"/>
          <a:ext cx="964217" cy="34823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脱水汚泥</a:t>
          </a:r>
        </a:p>
      </xdr:txBody>
    </xdr:sp>
    <xdr:clientData/>
  </xdr:twoCellAnchor>
  <xdr:twoCellAnchor>
    <xdr:from>
      <xdr:col>3</xdr:col>
      <xdr:colOff>533399</xdr:colOff>
      <xdr:row>23</xdr:row>
      <xdr:rowOff>66675</xdr:rowOff>
    </xdr:from>
    <xdr:to>
      <xdr:col>5</xdr:col>
      <xdr:colOff>310364</xdr:colOff>
      <xdr:row>25</xdr:row>
      <xdr:rowOff>107023</xdr:rowOff>
    </xdr:to>
    <xdr:sp macro="" textlink="">
      <xdr:nvSpPr>
        <xdr:cNvPr id="14" name="テキスト ボックス 69"/>
        <xdr:cNvSpPr txBox="1"/>
      </xdr:nvSpPr>
      <xdr:spPr>
        <a:xfrm>
          <a:off x="8258174" y="4619625"/>
          <a:ext cx="1148565" cy="44039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 anchor="t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消化タンク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defRPr/>
          </a:pPr>
          <a:endParaRPr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476249</xdr:colOff>
      <xdr:row>7</xdr:row>
      <xdr:rowOff>202690</xdr:rowOff>
    </xdr:from>
    <xdr:to>
      <xdr:col>8</xdr:col>
      <xdr:colOff>674686</xdr:colOff>
      <xdr:row>9</xdr:row>
      <xdr:rowOff>147411</xdr:rowOff>
    </xdr:to>
    <xdr:sp macro="" textlink="">
      <xdr:nvSpPr>
        <xdr:cNvPr id="15" name="テキスト ボックス 87"/>
        <xdr:cNvSpPr txBox="1"/>
      </xdr:nvSpPr>
      <xdr:spPr>
        <a:xfrm>
          <a:off x="11572874" y="1555240"/>
          <a:ext cx="884237" cy="344771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消化ガス</a:t>
          </a:r>
        </a:p>
      </xdr:txBody>
    </xdr:sp>
    <xdr:clientData/>
  </xdr:twoCellAnchor>
  <xdr:twoCellAnchor>
    <xdr:from>
      <xdr:col>5</xdr:col>
      <xdr:colOff>938326</xdr:colOff>
      <xdr:row>22</xdr:row>
      <xdr:rowOff>138906</xdr:rowOff>
    </xdr:from>
    <xdr:to>
      <xdr:col>6</xdr:col>
      <xdr:colOff>751227</xdr:colOff>
      <xdr:row>24</xdr:row>
      <xdr:rowOff>87092</xdr:rowOff>
    </xdr:to>
    <xdr:sp macro="" textlink="">
      <xdr:nvSpPr>
        <xdr:cNvPr id="16" name="テキスト ボックス 87"/>
        <xdr:cNvSpPr txBox="1"/>
      </xdr:nvSpPr>
      <xdr:spPr>
        <a:xfrm>
          <a:off x="10034701" y="4491831"/>
          <a:ext cx="1003526" cy="34823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消化汚泥</a:t>
          </a:r>
        </a:p>
      </xdr:txBody>
    </xdr:sp>
    <xdr:clientData/>
  </xdr:twoCellAnchor>
  <xdr:twoCellAnchor>
    <xdr:from>
      <xdr:col>4</xdr:col>
      <xdr:colOff>520609</xdr:colOff>
      <xdr:row>13</xdr:row>
      <xdr:rowOff>128536</xdr:rowOff>
    </xdr:from>
    <xdr:to>
      <xdr:col>5</xdr:col>
      <xdr:colOff>632983</xdr:colOff>
      <xdr:row>23</xdr:row>
      <xdr:rowOff>57649</xdr:rowOff>
    </xdr:to>
    <xdr:cxnSp macro="">
      <xdr:nvCxnSpPr>
        <xdr:cNvPr id="17" name="カギ線コネクタ 16"/>
        <xdr:cNvCxnSpPr/>
      </xdr:nvCxnSpPr>
      <xdr:spPr>
        <a:xfrm rot="10800000" flipV="1">
          <a:off x="8931184" y="2681236"/>
          <a:ext cx="798174" cy="1929363"/>
        </a:xfrm>
        <a:prstGeom prst="bentConnector2">
          <a:avLst/>
        </a:prstGeom>
        <a:ln w="38100">
          <a:solidFill>
            <a:schemeClr val="accent4">
              <a:lumMod val="75000"/>
            </a:schemeClr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544286</xdr:colOff>
      <xdr:row>11</xdr:row>
      <xdr:rowOff>192767</xdr:rowOff>
    </xdr:from>
    <xdr:to>
      <xdr:col>5</xdr:col>
      <xdr:colOff>487589</xdr:colOff>
      <xdr:row>13</xdr:row>
      <xdr:rowOff>115440</xdr:rowOff>
    </xdr:to>
    <xdr:sp macro="" textlink="">
      <xdr:nvSpPr>
        <xdr:cNvPr id="18" name="テキスト ボックス 87"/>
        <xdr:cNvSpPr txBox="1"/>
      </xdr:nvSpPr>
      <xdr:spPr>
        <a:xfrm>
          <a:off x="8954861" y="2345417"/>
          <a:ext cx="629103" cy="322723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加温</a:t>
          </a:r>
        </a:p>
      </xdr:txBody>
    </xdr:sp>
    <xdr:clientData/>
  </xdr:twoCellAnchor>
  <xdr:twoCellAnchor>
    <xdr:from>
      <xdr:col>10</xdr:col>
      <xdr:colOff>388370</xdr:colOff>
      <xdr:row>23</xdr:row>
      <xdr:rowOff>68783</xdr:rowOff>
    </xdr:from>
    <xdr:to>
      <xdr:col>11</xdr:col>
      <xdr:colOff>398292</xdr:colOff>
      <xdr:row>25</xdr:row>
      <xdr:rowOff>104734</xdr:rowOff>
    </xdr:to>
    <xdr:sp macro="" textlink="">
      <xdr:nvSpPr>
        <xdr:cNvPr id="19" name="テキスト ボックス 83"/>
        <xdr:cNvSpPr txBox="1"/>
      </xdr:nvSpPr>
      <xdr:spPr>
        <a:xfrm>
          <a:off x="14418695" y="4621733"/>
          <a:ext cx="819547" cy="43600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処分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384260</xdr:colOff>
      <xdr:row>16</xdr:row>
      <xdr:rowOff>69453</xdr:rowOff>
    </xdr:from>
    <xdr:to>
      <xdr:col>8</xdr:col>
      <xdr:colOff>531019</xdr:colOff>
      <xdr:row>18</xdr:row>
      <xdr:rowOff>109140</xdr:rowOff>
    </xdr:to>
    <xdr:sp macro="" textlink="">
      <xdr:nvSpPr>
        <xdr:cNvPr id="2" name="テキスト ボックス 82"/>
        <xdr:cNvSpPr txBox="1"/>
      </xdr:nvSpPr>
      <xdr:spPr>
        <a:xfrm>
          <a:off x="6661235" y="3041253"/>
          <a:ext cx="832559" cy="4397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脱水機</a:t>
          </a:r>
        </a:p>
      </xdr:txBody>
    </xdr:sp>
    <xdr:clientData/>
  </xdr:twoCellAnchor>
  <xdr:twoCellAnchor>
    <xdr:from>
      <xdr:col>9</xdr:col>
      <xdr:colOff>122323</xdr:colOff>
      <xdr:row>9</xdr:row>
      <xdr:rowOff>142541</xdr:rowOff>
    </xdr:from>
    <xdr:to>
      <xdr:col>10</xdr:col>
      <xdr:colOff>242490</xdr:colOff>
      <xdr:row>11</xdr:row>
      <xdr:rowOff>109967</xdr:rowOff>
    </xdr:to>
    <xdr:sp macro="" textlink="">
      <xdr:nvSpPr>
        <xdr:cNvPr id="3" name="テキスト ボックス 84"/>
        <xdr:cNvSpPr txBox="1"/>
      </xdr:nvSpPr>
      <xdr:spPr>
        <a:xfrm>
          <a:off x="7961398" y="1714166"/>
          <a:ext cx="1225067" cy="36747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発電設備</a:t>
          </a:r>
        </a:p>
      </xdr:txBody>
    </xdr:sp>
    <xdr:clientData/>
  </xdr:twoCellAnchor>
  <xdr:twoCellAnchor>
    <xdr:from>
      <xdr:col>3</xdr:col>
      <xdr:colOff>6994</xdr:colOff>
      <xdr:row>17</xdr:row>
      <xdr:rowOff>134069</xdr:rowOff>
    </xdr:from>
    <xdr:to>
      <xdr:col>3</xdr:col>
      <xdr:colOff>525251</xdr:colOff>
      <xdr:row>17</xdr:row>
      <xdr:rowOff>134072</xdr:rowOff>
    </xdr:to>
    <xdr:cxnSp macro="">
      <xdr:nvCxnSpPr>
        <xdr:cNvPr id="4" name="直線矢印コネクタ 3"/>
        <xdr:cNvCxnSpPr/>
      </xdr:nvCxnSpPr>
      <xdr:spPr>
        <a:xfrm flipV="1">
          <a:off x="2693044" y="3305894"/>
          <a:ext cx="518257" cy="3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685308</xdr:colOff>
      <xdr:row>8</xdr:row>
      <xdr:rowOff>188590</xdr:rowOff>
    </xdr:from>
    <xdr:to>
      <xdr:col>9</xdr:col>
      <xdr:colOff>38100</xdr:colOff>
      <xdr:row>10</xdr:row>
      <xdr:rowOff>105593</xdr:rowOff>
    </xdr:to>
    <xdr:sp macro="" textlink="">
      <xdr:nvSpPr>
        <xdr:cNvPr id="5" name="テキスト ボックス 87"/>
        <xdr:cNvSpPr txBox="1"/>
      </xdr:nvSpPr>
      <xdr:spPr>
        <a:xfrm>
          <a:off x="6962283" y="1560190"/>
          <a:ext cx="914892" cy="317053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排熱利用</a:t>
          </a:r>
        </a:p>
      </xdr:txBody>
    </xdr:sp>
    <xdr:clientData/>
  </xdr:twoCellAnchor>
  <xdr:twoCellAnchor>
    <xdr:from>
      <xdr:col>5</xdr:col>
      <xdr:colOff>1028700</xdr:colOff>
      <xdr:row>8</xdr:row>
      <xdr:rowOff>181428</xdr:rowOff>
    </xdr:from>
    <xdr:to>
      <xdr:col>7</xdr:col>
      <xdr:colOff>514350</xdr:colOff>
      <xdr:row>12</xdr:row>
      <xdr:rowOff>79375</xdr:rowOff>
    </xdr:to>
    <xdr:sp macro="" textlink="">
      <xdr:nvSpPr>
        <xdr:cNvPr id="6" name="テキスト ボックス 88"/>
        <xdr:cNvSpPr txBox="1"/>
      </xdr:nvSpPr>
      <xdr:spPr>
        <a:xfrm>
          <a:off x="5086350" y="1553028"/>
          <a:ext cx="1704975" cy="698047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熱交換器　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476250</xdr:colOff>
      <xdr:row>10</xdr:row>
      <xdr:rowOff>124825</xdr:rowOff>
    </xdr:from>
    <xdr:to>
      <xdr:col>9</xdr:col>
      <xdr:colOff>122434</xdr:colOff>
      <xdr:row>10</xdr:row>
      <xdr:rowOff>124825</xdr:rowOff>
    </xdr:to>
    <xdr:cxnSp macro="">
      <xdr:nvCxnSpPr>
        <xdr:cNvPr id="7" name="直線矢印コネクタ 6"/>
        <xdr:cNvCxnSpPr/>
      </xdr:nvCxnSpPr>
      <xdr:spPr>
        <a:xfrm flipH="1">
          <a:off x="6753225" y="1896475"/>
          <a:ext cx="1208284" cy="0"/>
        </a:xfrm>
        <a:prstGeom prst="straightConnector1">
          <a:avLst/>
        </a:prstGeom>
        <a:ln w="38100">
          <a:solidFill>
            <a:schemeClr val="accent4">
              <a:lumMod val="75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310364</xdr:colOff>
      <xdr:row>17</xdr:row>
      <xdr:rowOff>86849</xdr:rowOff>
    </xdr:from>
    <xdr:to>
      <xdr:col>7</xdr:col>
      <xdr:colOff>384260</xdr:colOff>
      <xdr:row>17</xdr:row>
      <xdr:rowOff>89297</xdr:rowOff>
    </xdr:to>
    <xdr:cxnSp macro="">
      <xdr:nvCxnSpPr>
        <xdr:cNvPr id="8" name="直線矢印コネクタ 7"/>
        <xdr:cNvCxnSpPr>
          <a:stCxn id="11" idx="3"/>
          <a:endCxn id="2" idx="1"/>
        </xdr:cNvCxnSpPr>
      </xdr:nvCxnSpPr>
      <xdr:spPr>
        <a:xfrm>
          <a:off x="4368014" y="3258674"/>
          <a:ext cx="2293221" cy="2448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531019</xdr:colOff>
      <xdr:row>17</xdr:row>
      <xdr:rowOff>86759</xdr:rowOff>
    </xdr:from>
    <xdr:to>
      <xdr:col>9</xdr:col>
      <xdr:colOff>1036070</xdr:colOff>
      <xdr:row>17</xdr:row>
      <xdr:rowOff>89297</xdr:rowOff>
    </xdr:to>
    <xdr:cxnSp macro="">
      <xdr:nvCxnSpPr>
        <xdr:cNvPr id="9" name="直線矢印コネクタ 8"/>
        <xdr:cNvCxnSpPr>
          <a:stCxn id="2" idx="3"/>
          <a:endCxn id="15" idx="1"/>
        </xdr:cNvCxnSpPr>
      </xdr:nvCxnSpPr>
      <xdr:spPr>
        <a:xfrm flipV="1">
          <a:off x="7493794" y="3258584"/>
          <a:ext cx="1381351" cy="2538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1158272</xdr:colOff>
      <xdr:row>15</xdr:row>
      <xdr:rowOff>134102</xdr:rowOff>
    </xdr:from>
    <xdr:to>
      <xdr:col>9</xdr:col>
      <xdr:colOff>931864</xdr:colOff>
      <xdr:row>17</xdr:row>
      <xdr:rowOff>82288</xdr:rowOff>
    </xdr:to>
    <xdr:sp macro="" textlink="">
      <xdr:nvSpPr>
        <xdr:cNvPr id="10" name="テキスト ボックス 116"/>
        <xdr:cNvSpPr txBox="1"/>
      </xdr:nvSpPr>
      <xdr:spPr>
        <a:xfrm>
          <a:off x="7835297" y="2905877"/>
          <a:ext cx="935642" cy="34823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脱水汚泥</a:t>
          </a:r>
        </a:p>
      </xdr:txBody>
    </xdr:sp>
    <xdr:clientData/>
  </xdr:twoCellAnchor>
  <xdr:twoCellAnchor>
    <xdr:from>
      <xdr:col>3</xdr:col>
      <xdr:colOff>533399</xdr:colOff>
      <xdr:row>16</xdr:row>
      <xdr:rowOff>66675</xdr:rowOff>
    </xdr:from>
    <xdr:to>
      <xdr:col>5</xdr:col>
      <xdr:colOff>310364</xdr:colOff>
      <xdr:row>18</xdr:row>
      <xdr:rowOff>107023</xdr:rowOff>
    </xdr:to>
    <xdr:sp macro="" textlink="">
      <xdr:nvSpPr>
        <xdr:cNvPr id="11" name="テキスト ボックス 69"/>
        <xdr:cNvSpPr txBox="1"/>
      </xdr:nvSpPr>
      <xdr:spPr>
        <a:xfrm>
          <a:off x="3219449" y="3038475"/>
          <a:ext cx="1148565" cy="44039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 anchor="t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消化タンク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defRPr/>
          </a:pPr>
          <a:endParaRPr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938326</xdr:colOff>
      <xdr:row>15</xdr:row>
      <xdr:rowOff>138906</xdr:rowOff>
    </xdr:from>
    <xdr:to>
      <xdr:col>6</xdr:col>
      <xdr:colOff>751227</xdr:colOff>
      <xdr:row>17</xdr:row>
      <xdr:rowOff>87092</xdr:rowOff>
    </xdr:to>
    <xdr:sp macro="" textlink="">
      <xdr:nvSpPr>
        <xdr:cNvPr id="12" name="テキスト ボックス 87"/>
        <xdr:cNvSpPr txBox="1"/>
      </xdr:nvSpPr>
      <xdr:spPr>
        <a:xfrm>
          <a:off x="4995976" y="2910681"/>
          <a:ext cx="1222601" cy="34823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消化汚泥</a:t>
          </a:r>
        </a:p>
      </xdr:txBody>
    </xdr:sp>
    <xdr:clientData/>
  </xdr:twoCellAnchor>
  <xdr:twoCellAnchor>
    <xdr:from>
      <xdr:col>4</xdr:col>
      <xdr:colOff>520614</xdr:colOff>
      <xdr:row>10</xdr:row>
      <xdr:rowOff>130402</xdr:rowOff>
    </xdr:from>
    <xdr:to>
      <xdr:col>5</xdr:col>
      <xdr:colOff>1028701</xdr:colOff>
      <xdr:row>16</xdr:row>
      <xdr:rowOff>57648</xdr:rowOff>
    </xdr:to>
    <xdr:cxnSp macro="">
      <xdr:nvCxnSpPr>
        <xdr:cNvPr id="13" name="カギ線コネクタ 12"/>
        <xdr:cNvCxnSpPr>
          <a:stCxn id="6" idx="1"/>
        </xdr:cNvCxnSpPr>
      </xdr:nvCxnSpPr>
      <xdr:spPr>
        <a:xfrm rot="10800000" flipV="1">
          <a:off x="3892464" y="1902052"/>
          <a:ext cx="1193887" cy="1127396"/>
        </a:xfrm>
        <a:prstGeom prst="bentConnector2">
          <a:avLst/>
        </a:prstGeom>
        <a:ln w="38100">
          <a:solidFill>
            <a:schemeClr val="accent4">
              <a:lumMod val="75000"/>
            </a:schemeClr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544286</xdr:colOff>
      <xdr:row>8</xdr:row>
      <xdr:rowOff>192767</xdr:rowOff>
    </xdr:from>
    <xdr:to>
      <xdr:col>5</xdr:col>
      <xdr:colOff>487589</xdr:colOff>
      <xdr:row>10</xdr:row>
      <xdr:rowOff>115440</xdr:rowOff>
    </xdr:to>
    <xdr:sp macro="" textlink="">
      <xdr:nvSpPr>
        <xdr:cNvPr id="14" name="テキスト ボックス 87"/>
        <xdr:cNvSpPr txBox="1"/>
      </xdr:nvSpPr>
      <xdr:spPr>
        <a:xfrm>
          <a:off x="3916136" y="1564367"/>
          <a:ext cx="629103" cy="322723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加温</a:t>
          </a:r>
        </a:p>
      </xdr:txBody>
    </xdr:sp>
    <xdr:clientData/>
  </xdr:twoCellAnchor>
  <xdr:twoCellAnchor>
    <xdr:from>
      <xdr:col>9</xdr:col>
      <xdr:colOff>1036070</xdr:colOff>
      <xdr:row>16</xdr:row>
      <xdr:rowOff>68783</xdr:rowOff>
    </xdr:from>
    <xdr:to>
      <xdr:col>10</xdr:col>
      <xdr:colOff>753892</xdr:colOff>
      <xdr:row>18</xdr:row>
      <xdr:rowOff>104734</xdr:rowOff>
    </xdr:to>
    <xdr:sp macro="" textlink="">
      <xdr:nvSpPr>
        <xdr:cNvPr id="15" name="テキスト ボックス 83"/>
        <xdr:cNvSpPr txBox="1"/>
      </xdr:nvSpPr>
      <xdr:spPr>
        <a:xfrm>
          <a:off x="8875145" y="3040583"/>
          <a:ext cx="822722" cy="43600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処分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587460</xdr:colOff>
      <xdr:row>22</xdr:row>
      <xdr:rowOff>69453</xdr:rowOff>
    </xdr:from>
    <xdr:to>
      <xdr:col>8</xdr:col>
      <xdr:colOff>734219</xdr:colOff>
      <xdr:row>24</xdr:row>
      <xdr:rowOff>109140</xdr:rowOff>
    </xdr:to>
    <xdr:sp macro="" textlink="">
      <xdr:nvSpPr>
        <xdr:cNvPr id="2" name="テキスト ボックス 82"/>
        <xdr:cNvSpPr txBox="1"/>
      </xdr:nvSpPr>
      <xdr:spPr>
        <a:xfrm>
          <a:off x="11684085" y="4660503"/>
          <a:ext cx="832559" cy="4397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  脱水機</a:t>
          </a:r>
        </a:p>
      </xdr:txBody>
    </xdr:sp>
    <xdr:clientData/>
  </xdr:twoCellAnchor>
  <xdr:twoCellAnchor>
    <xdr:from>
      <xdr:col>10</xdr:col>
      <xdr:colOff>377031</xdr:colOff>
      <xdr:row>22</xdr:row>
      <xdr:rowOff>68783</xdr:rowOff>
    </xdr:from>
    <xdr:to>
      <xdr:col>11</xdr:col>
      <xdr:colOff>386953</xdr:colOff>
      <xdr:row>24</xdr:row>
      <xdr:rowOff>104734</xdr:rowOff>
    </xdr:to>
    <xdr:sp macro="" textlink="">
      <xdr:nvSpPr>
        <xdr:cNvPr id="3" name="テキスト ボックス 83"/>
        <xdr:cNvSpPr txBox="1"/>
      </xdr:nvSpPr>
      <xdr:spPr>
        <a:xfrm>
          <a:off x="14312106" y="4659833"/>
          <a:ext cx="819547" cy="43600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処分</a:t>
          </a:r>
        </a:p>
      </xdr:txBody>
    </xdr:sp>
    <xdr:clientData/>
  </xdr:twoCellAnchor>
  <xdr:twoCellAnchor>
    <xdr:from>
      <xdr:col>8</xdr:col>
      <xdr:colOff>226786</xdr:colOff>
      <xdr:row>10</xdr:row>
      <xdr:rowOff>43663</xdr:rowOff>
    </xdr:from>
    <xdr:to>
      <xdr:col>8</xdr:col>
      <xdr:colOff>1104900</xdr:colOff>
      <xdr:row>12</xdr:row>
      <xdr:rowOff>68036</xdr:rowOff>
    </xdr:to>
    <xdr:sp macro="" textlink="">
      <xdr:nvSpPr>
        <xdr:cNvPr id="4" name="テキスト ボックス 84"/>
        <xdr:cNvSpPr txBox="1"/>
      </xdr:nvSpPr>
      <xdr:spPr>
        <a:xfrm>
          <a:off x="6983186" y="2215363"/>
          <a:ext cx="878114" cy="4307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発電設備</a:t>
          </a:r>
        </a:p>
      </xdr:txBody>
    </xdr:sp>
    <xdr:clientData/>
  </xdr:twoCellAnchor>
  <xdr:twoCellAnchor>
    <xdr:from>
      <xdr:col>3</xdr:col>
      <xdr:colOff>6994</xdr:colOff>
      <xdr:row>23</xdr:row>
      <xdr:rowOff>134069</xdr:rowOff>
    </xdr:from>
    <xdr:to>
      <xdr:col>3</xdr:col>
      <xdr:colOff>525251</xdr:colOff>
      <xdr:row>23</xdr:row>
      <xdr:rowOff>134072</xdr:rowOff>
    </xdr:to>
    <xdr:cxnSp macro="">
      <xdr:nvCxnSpPr>
        <xdr:cNvPr id="5" name="直線矢印コネクタ 4"/>
        <xdr:cNvCxnSpPr/>
      </xdr:nvCxnSpPr>
      <xdr:spPr>
        <a:xfrm flipV="1">
          <a:off x="7731769" y="4925144"/>
          <a:ext cx="518257" cy="3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12</xdr:row>
      <xdr:rowOff>118511</xdr:rowOff>
    </xdr:from>
    <xdr:to>
      <xdr:col>5</xdr:col>
      <xdr:colOff>588624</xdr:colOff>
      <xdr:row>22</xdr:row>
      <xdr:rowOff>47624</xdr:rowOff>
    </xdr:to>
    <xdr:cxnSp macro="">
      <xdr:nvCxnSpPr>
        <xdr:cNvPr id="6" name="カギ線コネクタ 5"/>
        <xdr:cNvCxnSpPr>
          <a:stCxn id="8" idx="1"/>
        </xdr:cNvCxnSpPr>
      </xdr:nvCxnSpPr>
      <xdr:spPr>
        <a:xfrm rot="10800000" flipV="1">
          <a:off x="8886825" y="2709311"/>
          <a:ext cx="798174" cy="1929363"/>
        </a:xfrm>
        <a:prstGeom prst="bentConnector2">
          <a:avLst/>
        </a:prstGeom>
        <a:ln w="38100">
          <a:solidFill>
            <a:schemeClr val="accent4">
              <a:lumMod val="75000"/>
            </a:schemeClr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473491</xdr:colOff>
      <xdr:row>9</xdr:row>
      <xdr:rowOff>174528</xdr:rowOff>
    </xdr:from>
    <xdr:to>
      <xdr:col>8</xdr:col>
      <xdr:colOff>336873</xdr:colOff>
      <xdr:row>11</xdr:row>
      <xdr:rowOff>135625</xdr:rowOff>
    </xdr:to>
    <xdr:sp macro="" textlink="">
      <xdr:nvSpPr>
        <xdr:cNvPr id="7" name="テキスト ボックス 87"/>
        <xdr:cNvSpPr txBox="1"/>
      </xdr:nvSpPr>
      <xdr:spPr>
        <a:xfrm>
          <a:off x="11570116" y="2165253"/>
          <a:ext cx="549182" cy="361147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加温</a:t>
          </a:r>
        </a:p>
      </xdr:txBody>
    </xdr:sp>
    <xdr:clientData/>
  </xdr:twoCellAnchor>
  <xdr:twoCellAnchor>
    <xdr:from>
      <xdr:col>5</xdr:col>
      <xdr:colOff>588624</xdr:colOff>
      <xdr:row>11</xdr:row>
      <xdr:rowOff>23140</xdr:rowOff>
    </xdr:from>
    <xdr:to>
      <xdr:col>7</xdr:col>
      <xdr:colOff>514350</xdr:colOff>
      <xdr:row>14</xdr:row>
      <xdr:rowOff>39771</xdr:rowOff>
    </xdr:to>
    <xdr:sp macro="" textlink="">
      <xdr:nvSpPr>
        <xdr:cNvPr id="8" name="テキスト ボックス 88"/>
        <xdr:cNvSpPr txBox="1"/>
      </xdr:nvSpPr>
      <xdr:spPr>
        <a:xfrm>
          <a:off x="9684999" y="2413915"/>
          <a:ext cx="1925976" cy="61670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高効率加温設備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  （可溶化装置）</a:t>
          </a:r>
        </a:p>
      </xdr:txBody>
    </xdr:sp>
    <xdr:clientData/>
  </xdr:twoCellAnchor>
  <xdr:twoCellAnchor>
    <xdr:from>
      <xdr:col>4</xdr:col>
      <xdr:colOff>219507</xdr:colOff>
      <xdr:row>8</xdr:row>
      <xdr:rowOff>125015</xdr:rowOff>
    </xdr:from>
    <xdr:to>
      <xdr:col>4</xdr:col>
      <xdr:colOff>238124</xdr:colOff>
      <xdr:row>22</xdr:row>
      <xdr:rowOff>66677</xdr:rowOff>
    </xdr:to>
    <xdr:cxnSp macro="">
      <xdr:nvCxnSpPr>
        <xdr:cNvPr id="9" name="直線コネクタ 8"/>
        <xdr:cNvCxnSpPr/>
      </xdr:nvCxnSpPr>
      <xdr:spPr>
        <a:xfrm flipV="1">
          <a:off x="8630082" y="1915715"/>
          <a:ext cx="18617" cy="2742012"/>
        </a:xfrm>
        <a:prstGeom prst="line">
          <a:avLst/>
        </a:prstGeom>
        <a:ln w="38100">
          <a:solidFill>
            <a:srgbClr val="FFC000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8</xdr:row>
      <xdr:rowOff>136071</xdr:rowOff>
    </xdr:from>
    <xdr:to>
      <xdr:col>8</xdr:col>
      <xdr:colOff>665843</xdr:colOff>
      <xdr:row>10</xdr:row>
      <xdr:rowOff>43663</xdr:rowOff>
    </xdr:to>
    <xdr:cxnSp macro="">
      <xdr:nvCxnSpPr>
        <xdr:cNvPr id="10" name="図形 37"/>
        <xdr:cNvCxnSpPr>
          <a:endCxn id="4" idx="0"/>
        </xdr:cNvCxnSpPr>
      </xdr:nvCxnSpPr>
      <xdr:spPr>
        <a:xfrm>
          <a:off x="3616325" y="1901371"/>
          <a:ext cx="3805918" cy="313992"/>
        </a:xfrm>
        <a:prstGeom prst="bentConnector2">
          <a:avLst/>
        </a:prstGeom>
        <a:ln w="38100">
          <a:solidFill>
            <a:srgbClr val="FFC000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295675</xdr:colOff>
      <xdr:row>14</xdr:row>
      <xdr:rowOff>79378</xdr:rowOff>
    </xdr:from>
    <xdr:to>
      <xdr:col>8</xdr:col>
      <xdr:colOff>317735</xdr:colOff>
      <xdr:row>22</xdr:row>
      <xdr:rowOff>69453</xdr:rowOff>
    </xdr:to>
    <xdr:cxnSp macro="">
      <xdr:nvCxnSpPr>
        <xdr:cNvPr id="11" name="カギ線コネクタ 10"/>
        <xdr:cNvCxnSpPr>
          <a:stCxn id="2" idx="0"/>
        </xdr:cNvCxnSpPr>
      </xdr:nvCxnSpPr>
      <xdr:spPr>
        <a:xfrm rot="16200000" flipV="1">
          <a:off x="10951092" y="3511436"/>
          <a:ext cx="1590275" cy="707860"/>
        </a:xfrm>
        <a:prstGeom prst="bentConnector3">
          <a:avLst>
            <a:gd name="adj1" fmla="val 50000"/>
          </a:avLst>
        </a:prstGeom>
        <a:ln w="38100">
          <a:solidFill>
            <a:srgbClr val="75100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503010</xdr:colOff>
      <xdr:row>11</xdr:row>
      <xdr:rowOff>118021</xdr:rowOff>
    </xdr:from>
    <xdr:to>
      <xdr:col>8</xdr:col>
      <xdr:colOff>226786</xdr:colOff>
      <xdr:row>11</xdr:row>
      <xdr:rowOff>118021</xdr:rowOff>
    </xdr:to>
    <xdr:cxnSp macro="">
      <xdr:nvCxnSpPr>
        <xdr:cNvPr id="12" name="直線矢印コネクタ 11"/>
        <xdr:cNvCxnSpPr/>
      </xdr:nvCxnSpPr>
      <xdr:spPr>
        <a:xfrm flipH="1">
          <a:off x="11599635" y="2508796"/>
          <a:ext cx="409576" cy="0"/>
        </a:xfrm>
        <a:prstGeom prst="straightConnector1">
          <a:avLst/>
        </a:prstGeom>
        <a:ln w="38100">
          <a:solidFill>
            <a:schemeClr val="accent4">
              <a:lumMod val="75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10701</xdr:colOff>
      <xdr:row>15</xdr:row>
      <xdr:rowOff>363877</xdr:rowOff>
    </xdr:from>
    <xdr:to>
      <xdr:col>4</xdr:col>
      <xdr:colOff>25790</xdr:colOff>
      <xdr:row>22</xdr:row>
      <xdr:rowOff>71490</xdr:rowOff>
    </xdr:to>
    <xdr:cxnSp macro="">
      <xdr:nvCxnSpPr>
        <xdr:cNvPr id="13" name="カギ線コネクタ 12"/>
        <xdr:cNvCxnSpPr/>
      </xdr:nvCxnSpPr>
      <xdr:spPr>
        <a:xfrm rot="16200000" flipH="1">
          <a:off x="7451064" y="3677239"/>
          <a:ext cx="1269713" cy="700889"/>
        </a:xfrm>
        <a:prstGeom prst="bentConnector3">
          <a:avLst>
            <a:gd name="adj1" fmla="val 2253"/>
          </a:avLst>
        </a:prstGeom>
        <a:ln w="38100">
          <a:solidFill>
            <a:srgbClr val="75100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8196</xdr:rowOff>
    </xdr:from>
    <xdr:to>
      <xdr:col>6</xdr:col>
      <xdr:colOff>362012</xdr:colOff>
      <xdr:row>11</xdr:row>
      <xdr:rowOff>23140</xdr:rowOff>
    </xdr:to>
    <xdr:cxnSp macro="">
      <xdr:nvCxnSpPr>
        <xdr:cNvPr id="14" name="カギ線コネクタ 13"/>
        <xdr:cNvCxnSpPr>
          <a:endCxn id="8" idx="0"/>
        </xdr:cNvCxnSpPr>
      </xdr:nvCxnSpPr>
      <xdr:spPr>
        <a:xfrm>
          <a:off x="7724775" y="2198946"/>
          <a:ext cx="2924237" cy="214969"/>
        </a:xfrm>
        <a:prstGeom prst="bentConnector2">
          <a:avLst/>
        </a:prstGeom>
        <a:ln w="38100">
          <a:solidFill>
            <a:srgbClr val="75100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359965</xdr:colOff>
      <xdr:row>5</xdr:row>
      <xdr:rowOff>153194</xdr:rowOff>
    </xdr:from>
    <xdr:to>
      <xdr:col>2</xdr:col>
      <xdr:colOff>456406</xdr:colOff>
      <xdr:row>7</xdr:row>
      <xdr:rowOff>71614</xdr:rowOff>
    </xdr:to>
    <xdr:sp macro="" textlink="">
      <xdr:nvSpPr>
        <xdr:cNvPr id="15" name="テキスト ボックス 105"/>
        <xdr:cNvSpPr txBox="1"/>
      </xdr:nvSpPr>
      <xdr:spPr>
        <a:xfrm>
          <a:off x="6084490" y="1343819"/>
          <a:ext cx="1287066" cy="31847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外部受入</a:t>
          </a:r>
        </a:p>
      </xdr:txBody>
    </xdr:sp>
    <xdr:clientData/>
  </xdr:twoCellAnchor>
  <xdr:twoCellAnchor>
    <xdr:from>
      <xdr:col>5</xdr:col>
      <xdr:colOff>310364</xdr:colOff>
      <xdr:row>23</xdr:row>
      <xdr:rowOff>86849</xdr:rowOff>
    </xdr:from>
    <xdr:to>
      <xdr:col>7</xdr:col>
      <xdr:colOff>577538</xdr:colOff>
      <xdr:row>23</xdr:row>
      <xdr:rowOff>95967</xdr:rowOff>
    </xdr:to>
    <xdr:cxnSp macro="">
      <xdr:nvCxnSpPr>
        <xdr:cNvPr id="16" name="直線矢印コネクタ 15"/>
        <xdr:cNvCxnSpPr>
          <a:stCxn id="19" idx="3"/>
        </xdr:cNvCxnSpPr>
      </xdr:nvCxnSpPr>
      <xdr:spPr>
        <a:xfrm>
          <a:off x="9406739" y="4877924"/>
          <a:ext cx="2267424" cy="9118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734219</xdr:colOff>
      <xdr:row>23</xdr:row>
      <xdr:rowOff>86759</xdr:rowOff>
    </xdr:from>
    <xdr:to>
      <xdr:col>10</xdr:col>
      <xdr:colOff>377031</xdr:colOff>
      <xdr:row>23</xdr:row>
      <xdr:rowOff>89297</xdr:rowOff>
    </xdr:to>
    <xdr:cxnSp macro="">
      <xdr:nvCxnSpPr>
        <xdr:cNvPr id="17" name="直線矢印コネクタ 16"/>
        <xdr:cNvCxnSpPr>
          <a:stCxn id="2" idx="3"/>
          <a:endCxn id="3" idx="1"/>
        </xdr:cNvCxnSpPr>
      </xdr:nvCxnSpPr>
      <xdr:spPr>
        <a:xfrm flipV="1">
          <a:off x="12516644" y="4877834"/>
          <a:ext cx="1795462" cy="2538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995309</xdr:colOff>
      <xdr:row>21</xdr:row>
      <xdr:rowOff>134102</xdr:rowOff>
    </xdr:from>
    <xdr:to>
      <xdr:col>10</xdr:col>
      <xdr:colOff>177800</xdr:colOff>
      <xdr:row>23</xdr:row>
      <xdr:rowOff>52634</xdr:rowOff>
    </xdr:to>
    <xdr:sp macro="" textlink="">
      <xdr:nvSpPr>
        <xdr:cNvPr id="18" name="テキスト ボックス 116"/>
        <xdr:cNvSpPr txBox="1"/>
      </xdr:nvSpPr>
      <xdr:spPr>
        <a:xfrm>
          <a:off x="7751709" y="4541002"/>
          <a:ext cx="1341491" cy="3249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脱水汚泥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排出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533399</xdr:colOff>
      <xdr:row>22</xdr:row>
      <xdr:rowOff>66675</xdr:rowOff>
    </xdr:from>
    <xdr:to>
      <xdr:col>5</xdr:col>
      <xdr:colOff>310364</xdr:colOff>
      <xdr:row>24</xdr:row>
      <xdr:rowOff>107023</xdr:rowOff>
    </xdr:to>
    <xdr:sp macro="" textlink="">
      <xdr:nvSpPr>
        <xdr:cNvPr id="19" name="テキスト ボックス 69"/>
        <xdr:cNvSpPr txBox="1"/>
      </xdr:nvSpPr>
      <xdr:spPr>
        <a:xfrm>
          <a:off x="8258174" y="4657725"/>
          <a:ext cx="1148565" cy="44039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 anchor="t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消化タンク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defRPr/>
          </a:pPr>
          <a:endParaRPr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358309</xdr:colOff>
      <xdr:row>15</xdr:row>
      <xdr:rowOff>104882</xdr:rowOff>
    </xdr:from>
    <xdr:to>
      <xdr:col>8</xdr:col>
      <xdr:colOff>652836</xdr:colOff>
      <xdr:row>18</xdr:row>
      <xdr:rowOff>52956</xdr:rowOff>
    </xdr:to>
    <xdr:sp macro="" textlink="">
      <xdr:nvSpPr>
        <xdr:cNvPr id="20" name="テキスト ボックス 116"/>
        <xdr:cNvSpPr txBox="1"/>
      </xdr:nvSpPr>
      <xdr:spPr>
        <a:xfrm>
          <a:off x="11454934" y="3295757"/>
          <a:ext cx="980327" cy="548149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脱水汚泥　　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可溶化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158749</xdr:colOff>
      <xdr:row>7</xdr:row>
      <xdr:rowOff>9922</xdr:rowOff>
    </xdr:from>
    <xdr:to>
      <xdr:col>8</xdr:col>
      <xdr:colOff>357186</xdr:colOff>
      <xdr:row>8</xdr:row>
      <xdr:rowOff>158750</xdr:rowOff>
    </xdr:to>
    <xdr:sp macro="" textlink="">
      <xdr:nvSpPr>
        <xdr:cNvPr id="21" name="テキスト ボックス 87"/>
        <xdr:cNvSpPr txBox="1"/>
      </xdr:nvSpPr>
      <xdr:spPr>
        <a:xfrm>
          <a:off x="11255374" y="1600597"/>
          <a:ext cx="884237" cy="348853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消化ガス</a:t>
          </a:r>
        </a:p>
      </xdr:txBody>
    </xdr:sp>
    <xdr:clientData/>
  </xdr:twoCellAnchor>
  <xdr:twoCellAnchor>
    <xdr:from>
      <xdr:col>5</xdr:col>
      <xdr:colOff>108180</xdr:colOff>
      <xdr:row>8</xdr:row>
      <xdr:rowOff>109781</xdr:rowOff>
    </xdr:from>
    <xdr:to>
      <xdr:col>5</xdr:col>
      <xdr:colOff>903530</xdr:colOff>
      <xdr:row>10</xdr:row>
      <xdr:rowOff>57967</xdr:rowOff>
    </xdr:to>
    <xdr:sp macro="" textlink="">
      <xdr:nvSpPr>
        <xdr:cNvPr id="22" name="テキスト ボックス 87"/>
        <xdr:cNvSpPr txBox="1"/>
      </xdr:nvSpPr>
      <xdr:spPr>
        <a:xfrm>
          <a:off x="9204555" y="1900481"/>
          <a:ext cx="795350" cy="34823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OD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汚泥</a:t>
          </a:r>
        </a:p>
      </xdr:txBody>
    </xdr:sp>
    <xdr:clientData/>
  </xdr:twoCellAnchor>
  <xdr:twoCellAnchor>
    <xdr:from>
      <xdr:col>2</xdr:col>
      <xdr:colOff>763983</xdr:colOff>
      <xdr:row>14</xdr:row>
      <xdr:rowOff>99219</xdr:rowOff>
    </xdr:from>
    <xdr:to>
      <xdr:col>4</xdr:col>
      <xdr:colOff>486171</xdr:colOff>
      <xdr:row>16</xdr:row>
      <xdr:rowOff>49610</xdr:rowOff>
    </xdr:to>
    <xdr:sp macro="" textlink="">
      <xdr:nvSpPr>
        <xdr:cNvPr id="23" name="テキスト ボックス 87"/>
        <xdr:cNvSpPr txBox="1"/>
      </xdr:nvSpPr>
      <xdr:spPr>
        <a:xfrm>
          <a:off x="7679133" y="3090069"/>
          <a:ext cx="1217613" cy="350441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食品廃棄物</a:t>
          </a:r>
        </a:p>
      </xdr:txBody>
    </xdr:sp>
    <xdr:clientData/>
  </xdr:twoCellAnchor>
  <xdr:twoCellAnchor>
    <xdr:from>
      <xdr:col>4</xdr:col>
      <xdr:colOff>369943</xdr:colOff>
      <xdr:row>11</xdr:row>
      <xdr:rowOff>11339</xdr:rowOff>
    </xdr:from>
    <xdr:to>
      <xdr:col>5</xdr:col>
      <xdr:colOff>776740</xdr:colOff>
      <xdr:row>12</xdr:row>
      <xdr:rowOff>138119</xdr:rowOff>
    </xdr:to>
    <xdr:sp macro="" textlink="">
      <xdr:nvSpPr>
        <xdr:cNvPr id="24" name="テキスト ボックス 87"/>
        <xdr:cNvSpPr txBox="1"/>
      </xdr:nvSpPr>
      <xdr:spPr>
        <a:xfrm>
          <a:off x="8780518" y="2402114"/>
          <a:ext cx="1092597" cy="326805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可溶化汚泥</a:t>
          </a:r>
        </a:p>
      </xdr:txBody>
    </xdr:sp>
    <xdr:clientData/>
  </xdr:twoCellAnchor>
  <xdr:twoCellAnchor>
    <xdr:from>
      <xdr:col>6</xdr:col>
      <xdr:colOff>19843</xdr:colOff>
      <xdr:row>21</xdr:row>
      <xdr:rowOff>138906</xdr:rowOff>
    </xdr:from>
    <xdr:to>
      <xdr:col>7</xdr:col>
      <xdr:colOff>218280</xdr:colOff>
      <xdr:row>23</xdr:row>
      <xdr:rowOff>87092</xdr:rowOff>
    </xdr:to>
    <xdr:sp macro="" textlink="">
      <xdr:nvSpPr>
        <xdr:cNvPr id="25" name="テキスト ボックス 87"/>
        <xdr:cNvSpPr txBox="1"/>
      </xdr:nvSpPr>
      <xdr:spPr>
        <a:xfrm>
          <a:off x="10306843" y="4529931"/>
          <a:ext cx="1008062" cy="34823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消化汚泥</a:t>
          </a:r>
        </a:p>
      </xdr:txBody>
    </xdr:sp>
    <xdr:clientData/>
  </xdr:twoCellAnchor>
  <xdr:twoCellAnchor>
    <xdr:from>
      <xdr:col>7</xdr:col>
      <xdr:colOff>111744</xdr:colOff>
      <xdr:row>8</xdr:row>
      <xdr:rowOff>145761</xdr:rowOff>
    </xdr:from>
    <xdr:to>
      <xdr:col>7</xdr:col>
      <xdr:colOff>111744</xdr:colOff>
      <xdr:row>11</xdr:row>
      <xdr:rowOff>21029</xdr:rowOff>
    </xdr:to>
    <xdr:cxnSp macro="">
      <xdr:nvCxnSpPr>
        <xdr:cNvPr id="26" name="直線矢印コネクタ 25"/>
        <xdr:cNvCxnSpPr/>
      </xdr:nvCxnSpPr>
      <xdr:spPr>
        <a:xfrm>
          <a:off x="11208369" y="1936461"/>
          <a:ext cx="0" cy="475343"/>
        </a:xfrm>
        <a:prstGeom prst="straightConnector1">
          <a:avLst/>
        </a:prstGeom>
        <a:ln w="3810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587460</xdr:colOff>
      <xdr:row>21</xdr:row>
      <xdr:rowOff>69453</xdr:rowOff>
    </xdr:from>
    <xdr:to>
      <xdr:col>8</xdr:col>
      <xdr:colOff>734219</xdr:colOff>
      <xdr:row>23</xdr:row>
      <xdr:rowOff>109140</xdr:rowOff>
    </xdr:to>
    <xdr:sp macro="" textlink="">
      <xdr:nvSpPr>
        <xdr:cNvPr id="2" name="テキスト ボックス 82"/>
        <xdr:cNvSpPr txBox="1"/>
      </xdr:nvSpPr>
      <xdr:spPr>
        <a:xfrm>
          <a:off x="6645360" y="4603353"/>
          <a:ext cx="832559" cy="4397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  脱水機</a:t>
          </a:r>
        </a:p>
      </xdr:txBody>
    </xdr:sp>
    <xdr:clientData/>
  </xdr:twoCellAnchor>
  <xdr:twoCellAnchor>
    <xdr:from>
      <xdr:col>10</xdr:col>
      <xdr:colOff>377031</xdr:colOff>
      <xdr:row>21</xdr:row>
      <xdr:rowOff>68783</xdr:rowOff>
    </xdr:from>
    <xdr:to>
      <xdr:col>11</xdr:col>
      <xdr:colOff>386953</xdr:colOff>
      <xdr:row>23</xdr:row>
      <xdr:rowOff>104734</xdr:rowOff>
    </xdr:to>
    <xdr:sp macro="" textlink="">
      <xdr:nvSpPr>
        <xdr:cNvPr id="3" name="テキスト ボックス 83"/>
        <xdr:cNvSpPr txBox="1"/>
      </xdr:nvSpPr>
      <xdr:spPr>
        <a:xfrm>
          <a:off x="9273381" y="4602683"/>
          <a:ext cx="819547" cy="43600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処分</a:t>
          </a:r>
        </a:p>
      </xdr:txBody>
    </xdr:sp>
    <xdr:clientData/>
  </xdr:twoCellAnchor>
  <xdr:twoCellAnchor>
    <xdr:from>
      <xdr:col>8</xdr:col>
      <xdr:colOff>226786</xdr:colOff>
      <xdr:row>9</xdr:row>
      <xdr:rowOff>43663</xdr:rowOff>
    </xdr:from>
    <xdr:to>
      <xdr:col>9</xdr:col>
      <xdr:colOff>0</xdr:colOff>
      <xdr:row>11</xdr:row>
      <xdr:rowOff>68036</xdr:rowOff>
    </xdr:to>
    <xdr:sp macro="" textlink="">
      <xdr:nvSpPr>
        <xdr:cNvPr id="4" name="テキスト ボックス 84"/>
        <xdr:cNvSpPr txBox="1"/>
      </xdr:nvSpPr>
      <xdr:spPr>
        <a:xfrm>
          <a:off x="7021286" y="1859763"/>
          <a:ext cx="928914" cy="4307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蒸気ボイラ</a:t>
          </a:r>
        </a:p>
      </xdr:txBody>
    </xdr:sp>
    <xdr:clientData/>
  </xdr:twoCellAnchor>
  <xdr:twoCellAnchor>
    <xdr:from>
      <xdr:col>3</xdr:col>
      <xdr:colOff>6994</xdr:colOff>
      <xdr:row>22</xdr:row>
      <xdr:rowOff>134069</xdr:rowOff>
    </xdr:from>
    <xdr:to>
      <xdr:col>3</xdr:col>
      <xdr:colOff>525251</xdr:colOff>
      <xdr:row>22</xdr:row>
      <xdr:rowOff>134072</xdr:rowOff>
    </xdr:to>
    <xdr:cxnSp macro="">
      <xdr:nvCxnSpPr>
        <xdr:cNvPr id="5" name="直線矢印コネクタ 4"/>
        <xdr:cNvCxnSpPr/>
      </xdr:nvCxnSpPr>
      <xdr:spPr>
        <a:xfrm flipV="1">
          <a:off x="2693044" y="4867994"/>
          <a:ext cx="518257" cy="3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476250</xdr:colOff>
      <xdr:row>11</xdr:row>
      <xdr:rowOff>120151</xdr:rowOff>
    </xdr:from>
    <xdr:to>
      <xdr:col>5</xdr:col>
      <xdr:colOff>1244600</xdr:colOff>
      <xdr:row>21</xdr:row>
      <xdr:rowOff>47623</xdr:rowOff>
    </xdr:to>
    <xdr:cxnSp macro="">
      <xdr:nvCxnSpPr>
        <xdr:cNvPr id="6" name="カギ線コネクタ 5"/>
        <xdr:cNvCxnSpPr>
          <a:stCxn id="8" idx="1"/>
        </xdr:cNvCxnSpPr>
      </xdr:nvCxnSpPr>
      <xdr:spPr>
        <a:xfrm rot="10800000" flipV="1">
          <a:off x="3854450" y="2698251"/>
          <a:ext cx="1454150" cy="1959472"/>
        </a:xfrm>
        <a:prstGeom prst="bentConnector2">
          <a:avLst/>
        </a:prstGeom>
        <a:ln w="38100">
          <a:solidFill>
            <a:schemeClr val="accent4">
              <a:lumMod val="75000"/>
            </a:schemeClr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473491</xdr:colOff>
      <xdr:row>8</xdr:row>
      <xdr:rowOff>174528</xdr:rowOff>
    </xdr:from>
    <xdr:to>
      <xdr:col>8</xdr:col>
      <xdr:colOff>336873</xdr:colOff>
      <xdr:row>10</xdr:row>
      <xdr:rowOff>135625</xdr:rowOff>
    </xdr:to>
    <xdr:sp macro="" textlink="">
      <xdr:nvSpPr>
        <xdr:cNvPr id="7" name="テキスト ボックス 87"/>
        <xdr:cNvSpPr txBox="1"/>
      </xdr:nvSpPr>
      <xdr:spPr>
        <a:xfrm>
          <a:off x="6823491" y="2143028"/>
          <a:ext cx="549182" cy="367497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加温</a:t>
          </a:r>
        </a:p>
      </xdr:txBody>
    </xdr:sp>
    <xdr:clientData/>
  </xdr:twoCellAnchor>
  <xdr:twoCellAnchor>
    <xdr:from>
      <xdr:col>5</xdr:col>
      <xdr:colOff>1244600</xdr:colOff>
      <xdr:row>10</xdr:row>
      <xdr:rowOff>23140</xdr:rowOff>
    </xdr:from>
    <xdr:to>
      <xdr:col>7</xdr:col>
      <xdr:colOff>514350</xdr:colOff>
      <xdr:row>13</xdr:row>
      <xdr:rowOff>13961</xdr:rowOff>
    </xdr:to>
    <xdr:sp macro="" textlink="">
      <xdr:nvSpPr>
        <xdr:cNvPr id="8" name="テキスト ボックス 88"/>
        <xdr:cNvSpPr txBox="1"/>
      </xdr:nvSpPr>
      <xdr:spPr>
        <a:xfrm>
          <a:off x="5308600" y="2398040"/>
          <a:ext cx="1555750" cy="60042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高効率加温設備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  （可溶化装置）</a:t>
          </a:r>
        </a:p>
      </xdr:txBody>
    </xdr:sp>
    <xdr:clientData/>
  </xdr:twoCellAnchor>
  <xdr:twoCellAnchor>
    <xdr:from>
      <xdr:col>7</xdr:col>
      <xdr:colOff>330201</xdr:colOff>
      <xdr:row>13</xdr:row>
      <xdr:rowOff>25400</xdr:rowOff>
    </xdr:from>
    <xdr:to>
      <xdr:col>8</xdr:col>
      <xdr:colOff>317941</xdr:colOff>
      <xdr:row>21</xdr:row>
      <xdr:rowOff>69453</xdr:rowOff>
    </xdr:to>
    <xdr:cxnSp macro="">
      <xdr:nvCxnSpPr>
        <xdr:cNvPr id="11" name="カギ線コネクタ 10"/>
        <xdr:cNvCxnSpPr>
          <a:stCxn id="2" idx="0"/>
        </xdr:cNvCxnSpPr>
      </xdr:nvCxnSpPr>
      <xdr:spPr>
        <a:xfrm rot="16200000" flipV="1">
          <a:off x="6182144" y="3507957"/>
          <a:ext cx="1669653" cy="673540"/>
        </a:xfrm>
        <a:prstGeom prst="bentConnector3">
          <a:avLst>
            <a:gd name="adj1" fmla="val 11968"/>
          </a:avLst>
        </a:prstGeom>
        <a:ln w="38100">
          <a:solidFill>
            <a:srgbClr val="75100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503010</xdr:colOff>
      <xdr:row>10</xdr:row>
      <xdr:rowOff>118021</xdr:rowOff>
    </xdr:from>
    <xdr:to>
      <xdr:col>8</xdr:col>
      <xdr:colOff>226786</xdr:colOff>
      <xdr:row>10</xdr:row>
      <xdr:rowOff>118021</xdr:rowOff>
    </xdr:to>
    <xdr:cxnSp macro="">
      <xdr:nvCxnSpPr>
        <xdr:cNvPr id="12" name="直線矢印コネクタ 11"/>
        <xdr:cNvCxnSpPr/>
      </xdr:nvCxnSpPr>
      <xdr:spPr>
        <a:xfrm flipH="1">
          <a:off x="6560910" y="2451646"/>
          <a:ext cx="409576" cy="0"/>
        </a:xfrm>
        <a:prstGeom prst="straightConnector1">
          <a:avLst/>
        </a:prstGeom>
        <a:ln w="38100">
          <a:solidFill>
            <a:schemeClr val="accent4">
              <a:lumMod val="75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10701</xdr:colOff>
      <xdr:row>14</xdr:row>
      <xdr:rowOff>363877</xdr:rowOff>
    </xdr:from>
    <xdr:to>
      <xdr:col>4</xdr:col>
      <xdr:colOff>25790</xdr:colOff>
      <xdr:row>21</xdr:row>
      <xdr:rowOff>71490</xdr:rowOff>
    </xdr:to>
    <xdr:cxnSp macro="">
      <xdr:nvCxnSpPr>
        <xdr:cNvPr id="13" name="カギ線コネクタ 12"/>
        <xdr:cNvCxnSpPr/>
      </xdr:nvCxnSpPr>
      <xdr:spPr>
        <a:xfrm rot="16200000" flipH="1">
          <a:off x="2412339" y="3620089"/>
          <a:ext cx="1269713" cy="700889"/>
        </a:xfrm>
        <a:prstGeom prst="bentConnector3">
          <a:avLst>
            <a:gd name="adj1" fmla="val 2253"/>
          </a:avLst>
        </a:prstGeom>
        <a:ln w="38100">
          <a:solidFill>
            <a:srgbClr val="75100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8196</xdr:rowOff>
    </xdr:from>
    <xdr:to>
      <xdr:col>6</xdr:col>
      <xdr:colOff>549275</xdr:colOff>
      <xdr:row>10</xdr:row>
      <xdr:rowOff>23140</xdr:rowOff>
    </xdr:to>
    <xdr:cxnSp macro="">
      <xdr:nvCxnSpPr>
        <xdr:cNvPr id="14" name="カギ線コネクタ 13"/>
        <xdr:cNvCxnSpPr>
          <a:endCxn id="8" idx="0"/>
        </xdr:cNvCxnSpPr>
      </xdr:nvCxnSpPr>
      <xdr:spPr>
        <a:xfrm>
          <a:off x="2692400" y="2179896"/>
          <a:ext cx="3394075" cy="218144"/>
        </a:xfrm>
        <a:prstGeom prst="bentConnector2">
          <a:avLst/>
        </a:prstGeom>
        <a:ln w="38100">
          <a:solidFill>
            <a:srgbClr val="751005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359965</xdr:colOff>
      <xdr:row>4</xdr:row>
      <xdr:rowOff>153194</xdr:rowOff>
    </xdr:from>
    <xdr:to>
      <xdr:col>2</xdr:col>
      <xdr:colOff>456406</xdr:colOff>
      <xdr:row>6</xdr:row>
      <xdr:rowOff>71614</xdr:rowOff>
    </xdr:to>
    <xdr:sp macro="" textlink="">
      <xdr:nvSpPr>
        <xdr:cNvPr id="15" name="テキスト ボックス 105"/>
        <xdr:cNvSpPr txBox="1"/>
      </xdr:nvSpPr>
      <xdr:spPr>
        <a:xfrm>
          <a:off x="1045765" y="1286669"/>
          <a:ext cx="1287066" cy="31847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tx1"/>
          </a:solidFill>
        </a:ln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外部受入</a:t>
          </a:r>
        </a:p>
      </xdr:txBody>
    </xdr:sp>
    <xdr:clientData/>
  </xdr:twoCellAnchor>
  <xdr:twoCellAnchor>
    <xdr:from>
      <xdr:col>5</xdr:col>
      <xdr:colOff>310364</xdr:colOff>
      <xdr:row>22</xdr:row>
      <xdr:rowOff>86849</xdr:rowOff>
    </xdr:from>
    <xdr:to>
      <xdr:col>7</xdr:col>
      <xdr:colOff>577538</xdr:colOff>
      <xdr:row>22</xdr:row>
      <xdr:rowOff>95967</xdr:rowOff>
    </xdr:to>
    <xdr:cxnSp macro="">
      <xdr:nvCxnSpPr>
        <xdr:cNvPr id="16" name="直線矢印コネクタ 15"/>
        <xdr:cNvCxnSpPr>
          <a:stCxn id="19" idx="3"/>
        </xdr:cNvCxnSpPr>
      </xdr:nvCxnSpPr>
      <xdr:spPr>
        <a:xfrm>
          <a:off x="4368014" y="4820774"/>
          <a:ext cx="2267424" cy="9118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734219</xdr:colOff>
      <xdr:row>22</xdr:row>
      <xdr:rowOff>86759</xdr:rowOff>
    </xdr:from>
    <xdr:to>
      <xdr:col>10</xdr:col>
      <xdr:colOff>377031</xdr:colOff>
      <xdr:row>22</xdr:row>
      <xdr:rowOff>89297</xdr:rowOff>
    </xdr:to>
    <xdr:cxnSp macro="">
      <xdr:nvCxnSpPr>
        <xdr:cNvPr id="17" name="直線矢印コネクタ 16"/>
        <xdr:cNvCxnSpPr>
          <a:stCxn id="2" idx="3"/>
          <a:endCxn id="3" idx="1"/>
        </xdr:cNvCxnSpPr>
      </xdr:nvCxnSpPr>
      <xdr:spPr>
        <a:xfrm flipV="1">
          <a:off x="7477919" y="4820684"/>
          <a:ext cx="1795462" cy="2538"/>
        </a:xfrm>
        <a:prstGeom prst="straightConnector1">
          <a:avLst/>
        </a:prstGeom>
        <a:ln w="38100">
          <a:solidFill>
            <a:srgbClr val="751005"/>
          </a:solidFill>
          <a:prstDash val="solid"/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830209</xdr:colOff>
      <xdr:row>20</xdr:row>
      <xdr:rowOff>108702</xdr:rowOff>
    </xdr:from>
    <xdr:to>
      <xdr:col>10</xdr:col>
      <xdr:colOff>279400</xdr:colOff>
      <xdr:row>22</xdr:row>
      <xdr:rowOff>27234</xdr:rowOff>
    </xdr:to>
    <xdr:sp macro="" textlink="">
      <xdr:nvSpPr>
        <xdr:cNvPr id="18" name="テキスト ボックス 116"/>
        <xdr:cNvSpPr txBox="1"/>
      </xdr:nvSpPr>
      <xdr:spPr>
        <a:xfrm>
          <a:off x="7624709" y="4160002"/>
          <a:ext cx="1303391" cy="3249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脱水汚泥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排出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533399</xdr:colOff>
      <xdr:row>21</xdr:row>
      <xdr:rowOff>66675</xdr:rowOff>
    </xdr:from>
    <xdr:to>
      <xdr:col>5</xdr:col>
      <xdr:colOff>310364</xdr:colOff>
      <xdr:row>23</xdr:row>
      <xdr:rowOff>107023</xdr:rowOff>
    </xdr:to>
    <xdr:sp macro="" textlink="">
      <xdr:nvSpPr>
        <xdr:cNvPr id="19" name="テキスト ボックス 69"/>
        <xdr:cNvSpPr txBox="1"/>
      </xdr:nvSpPr>
      <xdr:spPr>
        <a:xfrm>
          <a:off x="3219449" y="4600575"/>
          <a:ext cx="1148565" cy="44039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 anchor="t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消化タンク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defRPr/>
          </a:pPr>
          <a:endParaRPr lang="ja-JP" altLang="en-US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434509</xdr:colOff>
      <xdr:row>18</xdr:row>
      <xdr:rowOff>114300</xdr:rowOff>
    </xdr:from>
    <xdr:to>
      <xdr:col>9</xdr:col>
      <xdr:colOff>647700</xdr:colOff>
      <xdr:row>20</xdr:row>
      <xdr:rowOff>36399</xdr:rowOff>
    </xdr:to>
    <xdr:sp macro="" textlink="">
      <xdr:nvSpPr>
        <xdr:cNvPr id="20" name="テキスト ボックス 116"/>
        <xdr:cNvSpPr txBox="1"/>
      </xdr:nvSpPr>
      <xdr:spPr>
        <a:xfrm>
          <a:off x="6784509" y="4114800"/>
          <a:ext cx="2054691" cy="328499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脱水汚泥　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可溶化</a:t>
          </a: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108180</xdr:colOff>
      <xdr:row>7</xdr:row>
      <xdr:rowOff>109781</xdr:rowOff>
    </xdr:from>
    <xdr:to>
      <xdr:col>5</xdr:col>
      <xdr:colOff>903530</xdr:colOff>
      <xdr:row>9</xdr:row>
      <xdr:rowOff>57967</xdr:rowOff>
    </xdr:to>
    <xdr:sp macro="" textlink="">
      <xdr:nvSpPr>
        <xdr:cNvPr id="22" name="テキスト ボックス 87"/>
        <xdr:cNvSpPr txBox="1"/>
      </xdr:nvSpPr>
      <xdr:spPr>
        <a:xfrm>
          <a:off x="4165830" y="1843331"/>
          <a:ext cx="795350" cy="34823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OD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汚泥</a:t>
          </a:r>
        </a:p>
      </xdr:txBody>
    </xdr:sp>
    <xdr:clientData/>
  </xdr:twoCellAnchor>
  <xdr:twoCellAnchor>
    <xdr:from>
      <xdr:col>2</xdr:col>
      <xdr:colOff>789383</xdr:colOff>
      <xdr:row>12</xdr:row>
      <xdr:rowOff>23019</xdr:rowOff>
    </xdr:from>
    <xdr:to>
      <xdr:col>4</xdr:col>
      <xdr:colOff>511571</xdr:colOff>
      <xdr:row>13</xdr:row>
      <xdr:rowOff>176610</xdr:rowOff>
    </xdr:to>
    <xdr:sp macro="" textlink="">
      <xdr:nvSpPr>
        <xdr:cNvPr id="23" name="テキスト ボックス 87"/>
        <xdr:cNvSpPr txBox="1"/>
      </xdr:nvSpPr>
      <xdr:spPr>
        <a:xfrm>
          <a:off x="2668983" y="2804319"/>
          <a:ext cx="1220788" cy="356791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食廃スラリー</a:t>
          </a:r>
          <a:r>
            <a:rPr lang="ja-JP" altLang="en-US" sz="1050"/>
            <a:t> </a:t>
          </a:r>
          <a:r>
            <a:rPr kumimoji="1" lang="ja-JP" altLang="en-US" sz="1100" b="0" i="0" u="none" strike="noStrike" kern="1200">
              <a:solidFill>
                <a:schemeClr val="tx1"/>
              </a:solidFill>
              <a:effectLst/>
              <a:latin typeface="Arial" panose="020B0604020202020204" pitchFamily="34" charset="0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050"/>
            <a:t> </a:t>
          </a:r>
          <a:endParaRPr lang="ja-JP" altLang="en-US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369943</xdr:colOff>
      <xdr:row>10</xdr:row>
      <xdr:rowOff>11339</xdr:rowOff>
    </xdr:from>
    <xdr:to>
      <xdr:col>5</xdr:col>
      <xdr:colOff>776740</xdr:colOff>
      <xdr:row>11</xdr:row>
      <xdr:rowOff>138119</xdr:rowOff>
    </xdr:to>
    <xdr:sp macro="" textlink="">
      <xdr:nvSpPr>
        <xdr:cNvPr id="24" name="テキスト ボックス 87"/>
        <xdr:cNvSpPr txBox="1"/>
      </xdr:nvSpPr>
      <xdr:spPr>
        <a:xfrm>
          <a:off x="3741793" y="2344964"/>
          <a:ext cx="1092597" cy="326805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可溶化汚泥</a:t>
          </a:r>
        </a:p>
      </xdr:txBody>
    </xdr:sp>
    <xdr:clientData/>
  </xdr:twoCellAnchor>
  <xdr:twoCellAnchor>
    <xdr:from>
      <xdr:col>5</xdr:col>
      <xdr:colOff>819943</xdr:colOff>
      <xdr:row>20</xdr:row>
      <xdr:rowOff>138906</xdr:rowOff>
    </xdr:from>
    <xdr:to>
      <xdr:col>6</xdr:col>
      <xdr:colOff>357980</xdr:colOff>
      <xdr:row>22</xdr:row>
      <xdr:rowOff>87092</xdr:rowOff>
    </xdr:to>
    <xdr:sp macro="" textlink="">
      <xdr:nvSpPr>
        <xdr:cNvPr id="25" name="テキスト ボックス 87"/>
        <xdr:cNvSpPr txBox="1"/>
      </xdr:nvSpPr>
      <xdr:spPr>
        <a:xfrm>
          <a:off x="4883943" y="4545806"/>
          <a:ext cx="1011237" cy="354586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消化汚泥</a:t>
          </a:r>
        </a:p>
      </xdr:txBody>
    </xdr:sp>
    <xdr:clientData/>
  </xdr:twoCellAnchor>
  <xdr:twoCellAnchor>
    <xdr:from>
      <xdr:col>10</xdr:col>
      <xdr:colOff>23586</xdr:colOff>
      <xdr:row>9</xdr:row>
      <xdr:rowOff>56363</xdr:rowOff>
    </xdr:from>
    <xdr:to>
      <xdr:col>11</xdr:col>
      <xdr:colOff>38554</xdr:colOff>
      <xdr:row>11</xdr:row>
      <xdr:rowOff>80736</xdr:rowOff>
    </xdr:to>
    <xdr:sp macro="" textlink="">
      <xdr:nvSpPr>
        <xdr:cNvPr id="28" name="テキスト ボックス 84"/>
        <xdr:cNvSpPr txBox="1"/>
      </xdr:nvSpPr>
      <xdr:spPr>
        <a:xfrm>
          <a:off x="8672286" y="1872463"/>
          <a:ext cx="827768" cy="4307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defRPr/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発電機</a:t>
          </a:r>
        </a:p>
      </xdr:txBody>
    </xdr:sp>
    <xdr:clientData/>
  </xdr:twoCellAnchor>
  <xdr:twoCellAnchor>
    <xdr:from>
      <xdr:col>8</xdr:col>
      <xdr:colOff>1125310</xdr:colOff>
      <xdr:row>10</xdr:row>
      <xdr:rowOff>119350</xdr:rowOff>
    </xdr:from>
    <xdr:to>
      <xdr:col>9</xdr:col>
      <xdr:colOff>689610</xdr:colOff>
      <xdr:row>10</xdr:row>
      <xdr:rowOff>119350</xdr:rowOff>
    </xdr:to>
    <xdr:cxnSp macro="">
      <xdr:nvCxnSpPr>
        <xdr:cNvPr id="33" name="直線矢印コネクタ 32"/>
        <xdr:cNvCxnSpPr/>
      </xdr:nvCxnSpPr>
      <xdr:spPr>
        <a:xfrm flipH="1">
          <a:off x="7919810" y="2138650"/>
          <a:ext cx="720000" cy="0"/>
        </a:xfrm>
        <a:prstGeom prst="straightConnector1">
          <a:avLst/>
        </a:prstGeom>
        <a:ln w="38100">
          <a:solidFill>
            <a:schemeClr val="accent4">
              <a:lumMod val="75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92491</xdr:colOff>
      <xdr:row>8</xdr:row>
      <xdr:rowOff>199928</xdr:rowOff>
    </xdr:from>
    <xdr:to>
      <xdr:col>10</xdr:col>
      <xdr:colOff>76201</xdr:colOff>
      <xdr:row>10</xdr:row>
      <xdr:rowOff>25400</xdr:rowOff>
    </xdr:to>
    <xdr:sp macro="" textlink="">
      <xdr:nvSpPr>
        <xdr:cNvPr id="34" name="テキスト ボックス 87"/>
        <xdr:cNvSpPr txBox="1"/>
      </xdr:nvSpPr>
      <xdr:spPr>
        <a:xfrm>
          <a:off x="8042691" y="1812828"/>
          <a:ext cx="682210" cy="23187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528866" indent="-21156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1059494" indent="-44072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588357" indent="-65229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2118982" indent="-88144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538548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304625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553965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4061676" algn="l" defTabSz="1015418" rtl="0" eaLnBrk="1" latinLnBrk="0" hangingPunct="1">
            <a:defRPr kumimoji="1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発電排熱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55</xdr:row>
      <xdr:rowOff>133350</xdr:rowOff>
    </xdr:from>
    <xdr:to>
      <xdr:col>20</xdr:col>
      <xdr:colOff>7500</xdr:colOff>
      <xdr:row>55</xdr:row>
      <xdr:rowOff>133350</xdr:rowOff>
    </xdr:to>
    <xdr:cxnSp macro="">
      <xdr:nvCxnSpPr>
        <xdr:cNvPr id="2" name="直線矢印コネクタ 1"/>
        <xdr:cNvCxnSpPr/>
      </xdr:nvCxnSpPr>
      <xdr:spPr>
        <a:xfrm>
          <a:off x="1333500" y="7753350"/>
          <a:ext cx="2484000" cy="0"/>
        </a:xfrm>
        <a:prstGeom prst="straightConnector1">
          <a:avLst/>
        </a:prstGeom>
        <a:ln w="19050">
          <a:solidFill>
            <a:schemeClr val="tx1"/>
          </a:solidFill>
          <a:prstDash val="lgDash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9524</xdr:colOff>
      <xdr:row>40</xdr:row>
      <xdr:rowOff>7502</xdr:rowOff>
    </xdr:from>
    <xdr:to>
      <xdr:col>23</xdr:col>
      <xdr:colOff>9525</xdr:colOff>
      <xdr:row>55</xdr:row>
      <xdr:rowOff>2</xdr:rowOff>
    </xdr:to>
    <xdr:cxnSp macro="">
      <xdr:nvCxnSpPr>
        <xdr:cNvPr id="3" name="直線矢印コネクタ 2"/>
        <xdr:cNvCxnSpPr/>
      </xdr:nvCxnSpPr>
      <xdr:spPr>
        <a:xfrm rot="16200000" flipH="1">
          <a:off x="3394650" y="6623626"/>
          <a:ext cx="1992750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193675</xdr:colOff>
      <xdr:row>55</xdr:row>
      <xdr:rowOff>114300</xdr:rowOff>
    </xdr:from>
    <xdr:to>
      <xdr:col>33</xdr:col>
      <xdr:colOff>184150</xdr:colOff>
      <xdr:row>55</xdr:row>
      <xdr:rowOff>123826</xdr:rowOff>
    </xdr:to>
    <xdr:cxnSp macro="">
      <xdr:nvCxnSpPr>
        <xdr:cNvPr id="4" name="直線矢印コネクタ 3"/>
        <xdr:cNvCxnSpPr/>
      </xdr:nvCxnSpPr>
      <xdr:spPr>
        <a:xfrm flipV="1">
          <a:off x="4956175" y="7734300"/>
          <a:ext cx="1552575" cy="9526"/>
        </a:xfrm>
        <a:prstGeom prst="straightConnector1">
          <a:avLst/>
        </a:prstGeom>
        <a:ln w="19050">
          <a:solidFill>
            <a:schemeClr val="tx1"/>
          </a:solidFill>
          <a:prstDash val="lgDash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9524</xdr:colOff>
      <xdr:row>56</xdr:row>
      <xdr:rowOff>119853</xdr:rowOff>
    </xdr:from>
    <xdr:to>
      <xdr:col>23</xdr:col>
      <xdr:colOff>9525</xdr:colOff>
      <xdr:row>76</xdr:row>
      <xdr:rowOff>0</xdr:rowOff>
    </xdr:to>
    <xdr:cxnSp macro="">
      <xdr:nvCxnSpPr>
        <xdr:cNvPr id="5" name="直線矢印コネクタ 4"/>
        <xdr:cNvCxnSpPr/>
      </xdr:nvCxnSpPr>
      <xdr:spPr>
        <a:xfrm rot="16200000" flipH="1">
          <a:off x="3117451" y="9146776"/>
          <a:ext cx="2547147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33</xdr:row>
      <xdr:rowOff>114300</xdr:rowOff>
    </xdr:from>
    <xdr:to>
      <xdr:col>43</xdr:col>
      <xdr:colOff>9525</xdr:colOff>
      <xdr:row>41</xdr:row>
      <xdr:rowOff>127500</xdr:rowOff>
    </xdr:to>
    <xdr:cxnSp macro="">
      <xdr:nvCxnSpPr>
        <xdr:cNvPr id="6" name="直線矢印コネクタ 5"/>
        <xdr:cNvCxnSpPr/>
      </xdr:nvCxnSpPr>
      <xdr:spPr>
        <a:xfrm>
          <a:off x="8239125" y="4800600"/>
          <a:ext cx="0" cy="108000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41</xdr:row>
      <xdr:rowOff>104775</xdr:rowOff>
    </xdr:from>
    <xdr:to>
      <xdr:col>44</xdr:col>
      <xdr:colOff>169500</xdr:colOff>
      <xdr:row>41</xdr:row>
      <xdr:rowOff>104775</xdr:rowOff>
    </xdr:to>
    <xdr:cxnSp macro="">
      <xdr:nvCxnSpPr>
        <xdr:cNvPr id="7" name="直線矢印コネクタ 6"/>
        <xdr:cNvCxnSpPr/>
      </xdr:nvCxnSpPr>
      <xdr:spPr>
        <a:xfrm>
          <a:off x="8229600" y="585787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180975</xdr:colOff>
      <xdr:row>33</xdr:row>
      <xdr:rowOff>123825</xdr:rowOff>
    </xdr:from>
    <xdr:to>
      <xdr:col>44</xdr:col>
      <xdr:colOff>159975</xdr:colOff>
      <xdr:row>33</xdr:row>
      <xdr:rowOff>123825</xdr:rowOff>
    </xdr:to>
    <xdr:cxnSp macro="">
      <xdr:nvCxnSpPr>
        <xdr:cNvPr id="8" name="直線矢印コネクタ 7"/>
        <xdr:cNvCxnSpPr/>
      </xdr:nvCxnSpPr>
      <xdr:spPr>
        <a:xfrm>
          <a:off x="8220075" y="481012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47625</xdr:colOff>
      <xdr:row>37</xdr:row>
      <xdr:rowOff>57150</xdr:rowOff>
    </xdr:from>
    <xdr:to>
      <xdr:col>43</xdr:col>
      <xdr:colOff>16125</xdr:colOff>
      <xdr:row>37</xdr:row>
      <xdr:rowOff>57150</xdr:rowOff>
    </xdr:to>
    <xdr:cxnSp macro="">
      <xdr:nvCxnSpPr>
        <xdr:cNvPr id="9" name="直線矢印コネクタ 8"/>
        <xdr:cNvCxnSpPr/>
      </xdr:nvCxnSpPr>
      <xdr:spPr>
        <a:xfrm>
          <a:off x="7705725" y="5276850"/>
          <a:ext cx="54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180975</xdr:colOff>
      <xdr:row>37</xdr:row>
      <xdr:rowOff>0</xdr:rowOff>
    </xdr:from>
    <xdr:to>
      <xdr:col>31</xdr:col>
      <xdr:colOff>5475</xdr:colOff>
      <xdr:row>37</xdr:row>
      <xdr:rowOff>0</xdr:rowOff>
    </xdr:to>
    <xdr:cxnSp macro="">
      <xdr:nvCxnSpPr>
        <xdr:cNvPr id="10" name="直線矢印コネクタ 9"/>
        <xdr:cNvCxnSpPr/>
      </xdr:nvCxnSpPr>
      <xdr:spPr>
        <a:xfrm>
          <a:off x="5553075" y="5219700"/>
          <a:ext cx="396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15</xdr:row>
      <xdr:rowOff>9525</xdr:rowOff>
    </xdr:from>
    <xdr:to>
      <xdr:col>22</xdr:col>
      <xdr:colOff>172246</xdr:colOff>
      <xdr:row>30</xdr:row>
      <xdr:rowOff>10575</xdr:rowOff>
    </xdr:to>
    <xdr:cxnSp macro="">
      <xdr:nvCxnSpPr>
        <xdr:cNvPr id="11" name="直線矢印コネクタ 10"/>
        <xdr:cNvCxnSpPr/>
      </xdr:nvCxnSpPr>
      <xdr:spPr>
        <a:xfrm flipH="1">
          <a:off x="4362450" y="2295525"/>
          <a:ext cx="796" cy="20013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10</xdr:row>
      <xdr:rowOff>9526</xdr:rowOff>
    </xdr:from>
    <xdr:to>
      <xdr:col>22</xdr:col>
      <xdr:colOff>171452</xdr:colOff>
      <xdr:row>15</xdr:row>
      <xdr:rowOff>19050</xdr:rowOff>
    </xdr:to>
    <xdr:cxnSp macro="">
      <xdr:nvCxnSpPr>
        <xdr:cNvPr id="12" name="直線矢印コネクタ 11"/>
        <xdr:cNvCxnSpPr/>
      </xdr:nvCxnSpPr>
      <xdr:spPr>
        <a:xfrm rot="5400000">
          <a:off x="4024314" y="1966912"/>
          <a:ext cx="676274" cy="2"/>
        </a:xfrm>
        <a:prstGeom prst="straightConnector1">
          <a:avLst/>
        </a:prstGeom>
        <a:ln w="254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38</xdr:row>
      <xdr:rowOff>0</xdr:rowOff>
    </xdr:from>
    <xdr:to>
      <xdr:col>19</xdr:col>
      <xdr:colOff>8475</xdr:colOff>
      <xdr:row>38</xdr:row>
      <xdr:rowOff>5</xdr:rowOff>
    </xdr:to>
    <xdr:cxnSp macro="">
      <xdr:nvCxnSpPr>
        <xdr:cNvPr id="13" name="直線矢印コネクタ 12"/>
        <xdr:cNvCxnSpPr/>
      </xdr:nvCxnSpPr>
      <xdr:spPr>
        <a:xfrm flipV="1">
          <a:off x="1323975" y="5353050"/>
          <a:ext cx="2304000" cy="5"/>
        </a:xfrm>
        <a:prstGeom prst="straightConnector1">
          <a:avLst/>
        </a:prstGeom>
        <a:ln w="19050">
          <a:solidFill>
            <a:schemeClr val="tx1"/>
          </a:solidFill>
          <a:prstDash val="lgDashDot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55</xdr:row>
      <xdr:rowOff>133350</xdr:rowOff>
    </xdr:from>
    <xdr:to>
      <xdr:col>20</xdr:col>
      <xdr:colOff>7500</xdr:colOff>
      <xdr:row>55</xdr:row>
      <xdr:rowOff>133350</xdr:rowOff>
    </xdr:to>
    <xdr:cxnSp macro="">
      <xdr:nvCxnSpPr>
        <xdr:cNvPr id="2" name="直線矢印コネクタ 1"/>
        <xdr:cNvCxnSpPr/>
      </xdr:nvCxnSpPr>
      <xdr:spPr>
        <a:xfrm>
          <a:off x="1333500" y="7753350"/>
          <a:ext cx="2484000" cy="0"/>
        </a:xfrm>
        <a:prstGeom prst="straightConnector1">
          <a:avLst/>
        </a:prstGeom>
        <a:ln w="19050">
          <a:solidFill>
            <a:schemeClr val="tx1"/>
          </a:solidFill>
          <a:prstDash val="lgDash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9524</xdr:colOff>
      <xdr:row>40</xdr:row>
      <xdr:rowOff>7502</xdr:rowOff>
    </xdr:from>
    <xdr:to>
      <xdr:col>23</xdr:col>
      <xdr:colOff>9525</xdr:colOff>
      <xdr:row>55</xdr:row>
      <xdr:rowOff>2</xdr:rowOff>
    </xdr:to>
    <xdr:cxnSp macro="">
      <xdr:nvCxnSpPr>
        <xdr:cNvPr id="3" name="直線矢印コネクタ 2"/>
        <xdr:cNvCxnSpPr/>
      </xdr:nvCxnSpPr>
      <xdr:spPr>
        <a:xfrm rot="16200000" flipH="1">
          <a:off x="3394650" y="6623626"/>
          <a:ext cx="1992750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193675</xdr:colOff>
      <xdr:row>55</xdr:row>
      <xdr:rowOff>114300</xdr:rowOff>
    </xdr:from>
    <xdr:to>
      <xdr:col>33</xdr:col>
      <xdr:colOff>184150</xdr:colOff>
      <xdr:row>55</xdr:row>
      <xdr:rowOff>123826</xdr:rowOff>
    </xdr:to>
    <xdr:cxnSp macro="">
      <xdr:nvCxnSpPr>
        <xdr:cNvPr id="4" name="直線矢印コネクタ 3"/>
        <xdr:cNvCxnSpPr/>
      </xdr:nvCxnSpPr>
      <xdr:spPr>
        <a:xfrm flipV="1">
          <a:off x="4956175" y="7734300"/>
          <a:ext cx="1552575" cy="9526"/>
        </a:xfrm>
        <a:prstGeom prst="straightConnector1">
          <a:avLst/>
        </a:prstGeom>
        <a:ln w="19050">
          <a:solidFill>
            <a:schemeClr val="tx1"/>
          </a:solidFill>
          <a:prstDash val="lgDash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180976</xdr:colOff>
      <xdr:row>61</xdr:row>
      <xdr:rowOff>0</xdr:rowOff>
    </xdr:from>
    <xdr:to>
      <xdr:col>23</xdr:col>
      <xdr:colOff>19051</xdr:colOff>
      <xdr:row>61</xdr:row>
      <xdr:rowOff>2</xdr:rowOff>
    </xdr:to>
    <xdr:cxnSp macro="">
      <xdr:nvCxnSpPr>
        <xdr:cNvPr id="5" name="直線矢印コネクタ 4"/>
        <xdr:cNvCxnSpPr/>
      </xdr:nvCxnSpPr>
      <xdr:spPr>
        <a:xfrm rot="10800000" flipV="1">
          <a:off x="2276476" y="8420100"/>
          <a:ext cx="2124075" cy="2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19054</xdr:colOff>
      <xdr:row>38</xdr:row>
      <xdr:rowOff>0</xdr:rowOff>
    </xdr:from>
    <xdr:to>
      <xdr:col>19</xdr:col>
      <xdr:colOff>0</xdr:colOff>
      <xdr:row>38</xdr:row>
      <xdr:rowOff>2</xdr:rowOff>
    </xdr:to>
    <xdr:cxnSp macro="">
      <xdr:nvCxnSpPr>
        <xdr:cNvPr id="6" name="直線矢印コネクタ 5"/>
        <xdr:cNvCxnSpPr/>
      </xdr:nvCxnSpPr>
      <xdr:spPr>
        <a:xfrm flipV="1">
          <a:off x="2686054" y="5353050"/>
          <a:ext cx="933446" cy="2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</xdr:colOff>
      <xdr:row>38</xdr:row>
      <xdr:rowOff>123825</xdr:rowOff>
    </xdr:from>
    <xdr:to>
      <xdr:col>9</xdr:col>
      <xdr:colOff>15004</xdr:colOff>
      <xdr:row>38</xdr:row>
      <xdr:rowOff>123830</xdr:rowOff>
    </xdr:to>
    <xdr:cxnSp macro="">
      <xdr:nvCxnSpPr>
        <xdr:cNvPr id="7" name="直線矢印コネクタ 6"/>
        <xdr:cNvCxnSpPr/>
      </xdr:nvCxnSpPr>
      <xdr:spPr>
        <a:xfrm flipV="1">
          <a:off x="1333504" y="5476875"/>
          <a:ext cx="396000" cy="5"/>
        </a:xfrm>
        <a:prstGeom prst="straightConnector1">
          <a:avLst/>
        </a:prstGeom>
        <a:ln w="19050">
          <a:solidFill>
            <a:schemeClr val="tx1"/>
          </a:solidFill>
          <a:prstDash val="lgDashDot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40</xdr:row>
      <xdr:rowOff>17028</xdr:rowOff>
    </xdr:from>
    <xdr:to>
      <xdr:col>12</xdr:col>
      <xdr:colOff>1</xdr:colOff>
      <xdr:row>55</xdr:row>
      <xdr:rowOff>104778</xdr:rowOff>
    </xdr:to>
    <xdr:cxnSp macro="">
      <xdr:nvCxnSpPr>
        <xdr:cNvPr id="8" name="直線矢印コネクタ 7"/>
        <xdr:cNvCxnSpPr/>
      </xdr:nvCxnSpPr>
      <xdr:spPr>
        <a:xfrm rot="16200000" flipH="1">
          <a:off x="1242001" y="6680777"/>
          <a:ext cx="2088000" cy="1"/>
        </a:xfrm>
        <a:prstGeom prst="straightConnector1">
          <a:avLst/>
        </a:prstGeom>
        <a:ln w="25400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189709</xdr:colOff>
      <xdr:row>56</xdr:row>
      <xdr:rowOff>48422</xdr:rowOff>
    </xdr:from>
    <xdr:to>
      <xdr:col>12</xdr:col>
      <xdr:colOff>797</xdr:colOff>
      <xdr:row>60</xdr:row>
      <xdr:rowOff>127022</xdr:rowOff>
    </xdr:to>
    <xdr:cxnSp macro="">
      <xdr:nvCxnSpPr>
        <xdr:cNvPr id="9" name="直線矢印コネクタ 8"/>
        <xdr:cNvCxnSpPr/>
      </xdr:nvCxnSpPr>
      <xdr:spPr>
        <a:xfrm rot="5400000">
          <a:off x="1980003" y="8106978"/>
          <a:ext cx="612000" cy="1588"/>
        </a:xfrm>
        <a:prstGeom prst="straightConnector1">
          <a:avLst/>
        </a:prstGeom>
        <a:ln w="2540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33</xdr:row>
      <xdr:rowOff>114300</xdr:rowOff>
    </xdr:from>
    <xdr:to>
      <xdr:col>43</xdr:col>
      <xdr:colOff>9525</xdr:colOff>
      <xdr:row>41</xdr:row>
      <xdr:rowOff>127500</xdr:rowOff>
    </xdr:to>
    <xdr:cxnSp macro="">
      <xdr:nvCxnSpPr>
        <xdr:cNvPr id="11" name="直線矢印コネクタ 10"/>
        <xdr:cNvCxnSpPr/>
      </xdr:nvCxnSpPr>
      <xdr:spPr>
        <a:xfrm>
          <a:off x="8239125" y="4800600"/>
          <a:ext cx="0" cy="108000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41</xdr:row>
      <xdr:rowOff>104775</xdr:rowOff>
    </xdr:from>
    <xdr:to>
      <xdr:col>44</xdr:col>
      <xdr:colOff>169500</xdr:colOff>
      <xdr:row>41</xdr:row>
      <xdr:rowOff>104775</xdr:rowOff>
    </xdr:to>
    <xdr:cxnSp macro="">
      <xdr:nvCxnSpPr>
        <xdr:cNvPr id="12" name="直線矢印コネクタ 11"/>
        <xdr:cNvCxnSpPr/>
      </xdr:nvCxnSpPr>
      <xdr:spPr>
        <a:xfrm>
          <a:off x="8229600" y="585787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180975</xdr:colOff>
      <xdr:row>33</xdr:row>
      <xdr:rowOff>123825</xdr:rowOff>
    </xdr:from>
    <xdr:to>
      <xdr:col>44</xdr:col>
      <xdr:colOff>159975</xdr:colOff>
      <xdr:row>33</xdr:row>
      <xdr:rowOff>123825</xdr:rowOff>
    </xdr:to>
    <xdr:cxnSp macro="">
      <xdr:nvCxnSpPr>
        <xdr:cNvPr id="13" name="直線矢印コネクタ 12"/>
        <xdr:cNvCxnSpPr/>
      </xdr:nvCxnSpPr>
      <xdr:spPr>
        <a:xfrm>
          <a:off x="8220075" y="481012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47625</xdr:colOff>
      <xdr:row>37</xdr:row>
      <xdr:rowOff>57150</xdr:rowOff>
    </xdr:from>
    <xdr:to>
      <xdr:col>43</xdr:col>
      <xdr:colOff>16125</xdr:colOff>
      <xdr:row>37</xdr:row>
      <xdr:rowOff>57150</xdr:rowOff>
    </xdr:to>
    <xdr:cxnSp macro="">
      <xdr:nvCxnSpPr>
        <xdr:cNvPr id="14" name="直線矢印コネクタ 13"/>
        <xdr:cNvCxnSpPr/>
      </xdr:nvCxnSpPr>
      <xdr:spPr>
        <a:xfrm>
          <a:off x="7705725" y="5276850"/>
          <a:ext cx="54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180975</xdr:colOff>
      <xdr:row>37</xdr:row>
      <xdr:rowOff>0</xdr:rowOff>
    </xdr:from>
    <xdr:to>
      <xdr:col>31</xdr:col>
      <xdr:colOff>5475</xdr:colOff>
      <xdr:row>37</xdr:row>
      <xdr:rowOff>0</xdr:rowOff>
    </xdr:to>
    <xdr:cxnSp macro="">
      <xdr:nvCxnSpPr>
        <xdr:cNvPr id="15" name="直線矢印コネクタ 14"/>
        <xdr:cNvCxnSpPr/>
      </xdr:nvCxnSpPr>
      <xdr:spPr>
        <a:xfrm>
          <a:off x="5553075" y="5219700"/>
          <a:ext cx="396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10</xdr:row>
      <xdr:rowOff>9526</xdr:rowOff>
    </xdr:from>
    <xdr:to>
      <xdr:col>11</xdr:col>
      <xdr:colOff>9527</xdr:colOff>
      <xdr:row>15</xdr:row>
      <xdr:rowOff>19050</xdr:rowOff>
    </xdr:to>
    <xdr:cxnSp macro="">
      <xdr:nvCxnSpPr>
        <xdr:cNvPr id="16" name="直線矢印コネクタ 15"/>
        <xdr:cNvCxnSpPr/>
      </xdr:nvCxnSpPr>
      <xdr:spPr>
        <a:xfrm rot="5400000">
          <a:off x="1766889" y="1966912"/>
          <a:ext cx="676274" cy="2"/>
        </a:xfrm>
        <a:prstGeom prst="straightConnector1">
          <a:avLst/>
        </a:prstGeom>
        <a:ln w="254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10</xdr:row>
      <xdr:rowOff>9525</xdr:rowOff>
    </xdr:from>
    <xdr:to>
      <xdr:col>22</xdr:col>
      <xdr:colOff>171450</xdr:colOff>
      <xdr:row>30</xdr:row>
      <xdr:rowOff>10575</xdr:rowOff>
    </xdr:to>
    <xdr:cxnSp macro="">
      <xdr:nvCxnSpPr>
        <xdr:cNvPr id="17" name="直線矢印コネクタ 16"/>
        <xdr:cNvCxnSpPr/>
      </xdr:nvCxnSpPr>
      <xdr:spPr>
        <a:xfrm flipH="1">
          <a:off x="4362450" y="1628775"/>
          <a:ext cx="0" cy="266805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22</xdr:row>
      <xdr:rowOff>22225</xdr:rowOff>
    </xdr:from>
    <xdr:to>
      <xdr:col>51</xdr:col>
      <xdr:colOff>8850</xdr:colOff>
      <xdr:row>22</xdr:row>
      <xdr:rowOff>22225</xdr:rowOff>
    </xdr:to>
    <xdr:cxnSp macro="">
      <xdr:nvCxnSpPr>
        <xdr:cNvPr id="18" name="直線矢印コネクタ 17"/>
        <xdr:cNvCxnSpPr/>
      </xdr:nvCxnSpPr>
      <xdr:spPr>
        <a:xfrm>
          <a:off x="4362450" y="3241675"/>
          <a:ext cx="5400000" cy="0"/>
        </a:xfrm>
        <a:prstGeom prst="straightConnector1">
          <a:avLst/>
        </a:prstGeom>
        <a:ln w="2540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10</xdr:row>
      <xdr:rowOff>9526</xdr:rowOff>
    </xdr:from>
    <xdr:to>
      <xdr:col>11</xdr:col>
      <xdr:colOff>9527</xdr:colOff>
      <xdr:row>15</xdr:row>
      <xdr:rowOff>19050</xdr:rowOff>
    </xdr:to>
    <xdr:cxnSp macro="">
      <xdr:nvCxnSpPr>
        <xdr:cNvPr id="19" name="直線矢印コネクタ 18"/>
        <xdr:cNvCxnSpPr/>
      </xdr:nvCxnSpPr>
      <xdr:spPr>
        <a:xfrm rot="5400000">
          <a:off x="1766889" y="1966912"/>
          <a:ext cx="676274" cy="2"/>
        </a:xfrm>
        <a:prstGeom prst="straightConnector1">
          <a:avLst/>
        </a:prstGeom>
        <a:ln w="254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9526</xdr:colOff>
      <xdr:row>16</xdr:row>
      <xdr:rowOff>125626</xdr:rowOff>
    </xdr:from>
    <xdr:to>
      <xdr:col>43</xdr:col>
      <xdr:colOff>9527</xdr:colOff>
      <xdr:row>22</xdr:row>
      <xdr:rowOff>9526</xdr:rowOff>
    </xdr:to>
    <xdr:cxnSp macro="">
      <xdr:nvCxnSpPr>
        <xdr:cNvPr id="20" name="直線矢印コネクタ 19"/>
        <xdr:cNvCxnSpPr/>
      </xdr:nvCxnSpPr>
      <xdr:spPr>
        <a:xfrm rot="16200000" flipH="1">
          <a:off x="7897127" y="2886975"/>
          <a:ext cx="684000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</xdr:colOff>
      <xdr:row>17</xdr:row>
      <xdr:rowOff>1801</xdr:rowOff>
    </xdr:from>
    <xdr:to>
      <xdr:col>51</xdr:col>
      <xdr:colOff>2</xdr:colOff>
      <xdr:row>22</xdr:row>
      <xdr:rowOff>19051</xdr:rowOff>
    </xdr:to>
    <xdr:cxnSp macro="">
      <xdr:nvCxnSpPr>
        <xdr:cNvPr id="21" name="直線矢印コネクタ 20"/>
        <xdr:cNvCxnSpPr/>
      </xdr:nvCxnSpPr>
      <xdr:spPr>
        <a:xfrm rot="16200000" flipH="1">
          <a:off x="9411602" y="2896500"/>
          <a:ext cx="684000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14</xdr:row>
      <xdr:rowOff>123825</xdr:rowOff>
    </xdr:from>
    <xdr:to>
      <xdr:col>11</xdr:col>
      <xdr:colOff>10321</xdr:colOff>
      <xdr:row>37</xdr:row>
      <xdr:rowOff>8775</xdr:rowOff>
    </xdr:to>
    <xdr:cxnSp macro="">
      <xdr:nvCxnSpPr>
        <xdr:cNvPr id="22" name="直線矢印コネクタ 21"/>
        <xdr:cNvCxnSpPr/>
      </xdr:nvCxnSpPr>
      <xdr:spPr>
        <a:xfrm flipH="1">
          <a:off x="2105025" y="2276475"/>
          <a:ext cx="796" cy="29520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33</xdr:row>
      <xdr:rowOff>114300</xdr:rowOff>
    </xdr:from>
    <xdr:to>
      <xdr:col>43</xdr:col>
      <xdr:colOff>9525</xdr:colOff>
      <xdr:row>41</xdr:row>
      <xdr:rowOff>127500</xdr:rowOff>
    </xdr:to>
    <xdr:cxnSp macro="">
      <xdr:nvCxnSpPr>
        <xdr:cNvPr id="23" name="直線矢印コネクタ 22"/>
        <xdr:cNvCxnSpPr/>
      </xdr:nvCxnSpPr>
      <xdr:spPr>
        <a:xfrm>
          <a:off x="8239125" y="4800600"/>
          <a:ext cx="0" cy="108000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41</xdr:row>
      <xdr:rowOff>104775</xdr:rowOff>
    </xdr:from>
    <xdr:to>
      <xdr:col>44</xdr:col>
      <xdr:colOff>169500</xdr:colOff>
      <xdr:row>41</xdr:row>
      <xdr:rowOff>104775</xdr:rowOff>
    </xdr:to>
    <xdr:cxnSp macro="">
      <xdr:nvCxnSpPr>
        <xdr:cNvPr id="24" name="直線矢印コネクタ 23"/>
        <xdr:cNvCxnSpPr/>
      </xdr:nvCxnSpPr>
      <xdr:spPr>
        <a:xfrm>
          <a:off x="8229600" y="585787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180975</xdr:colOff>
      <xdr:row>33</xdr:row>
      <xdr:rowOff>123825</xdr:rowOff>
    </xdr:from>
    <xdr:to>
      <xdr:col>44</xdr:col>
      <xdr:colOff>159975</xdr:colOff>
      <xdr:row>33</xdr:row>
      <xdr:rowOff>123825</xdr:rowOff>
    </xdr:to>
    <xdr:cxnSp macro="">
      <xdr:nvCxnSpPr>
        <xdr:cNvPr id="25" name="直線矢印コネクタ 24"/>
        <xdr:cNvCxnSpPr/>
      </xdr:nvCxnSpPr>
      <xdr:spPr>
        <a:xfrm>
          <a:off x="8220075" y="481012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41</xdr:row>
      <xdr:rowOff>104775</xdr:rowOff>
    </xdr:from>
    <xdr:to>
      <xdr:col>44</xdr:col>
      <xdr:colOff>169500</xdr:colOff>
      <xdr:row>41</xdr:row>
      <xdr:rowOff>104775</xdr:rowOff>
    </xdr:to>
    <xdr:cxnSp macro="">
      <xdr:nvCxnSpPr>
        <xdr:cNvPr id="26" name="直線矢印コネクタ 25"/>
        <xdr:cNvCxnSpPr/>
      </xdr:nvCxnSpPr>
      <xdr:spPr>
        <a:xfrm>
          <a:off x="8229600" y="585787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180975</xdr:colOff>
      <xdr:row>33</xdr:row>
      <xdr:rowOff>123825</xdr:rowOff>
    </xdr:from>
    <xdr:to>
      <xdr:col>44</xdr:col>
      <xdr:colOff>159975</xdr:colOff>
      <xdr:row>33</xdr:row>
      <xdr:rowOff>123825</xdr:rowOff>
    </xdr:to>
    <xdr:cxnSp macro="">
      <xdr:nvCxnSpPr>
        <xdr:cNvPr id="27" name="直線矢印コネクタ 26"/>
        <xdr:cNvCxnSpPr/>
      </xdr:nvCxnSpPr>
      <xdr:spPr>
        <a:xfrm>
          <a:off x="8220075" y="481012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26</xdr:row>
      <xdr:rowOff>38100</xdr:rowOff>
    </xdr:from>
    <xdr:to>
      <xdr:col>43</xdr:col>
      <xdr:colOff>9525</xdr:colOff>
      <xdr:row>41</xdr:row>
      <xdr:rowOff>125850</xdr:rowOff>
    </xdr:to>
    <xdr:cxnSp macro="">
      <xdr:nvCxnSpPr>
        <xdr:cNvPr id="28" name="直線矢印コネクタ 27"/>
        <xdr:cNvCxnSpPr/>
      </xdr:nvCxnSpPr>
      <xdr:spPr>
        <a:xfrm>
          <a:off x="8239125" y="3790950"/>
          <a:ext cx="0" cy="208800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26</xdr:row>
      <xdr:rowOff>47625</xdr:rowOff>
    </xdr:from>
    <xdr:to>
      <xdr:col>44</xdr:col>
      <xdr:colOff>169500</xdr:colOff>
      <xdr:row>26</xdr:row>
      <xdr:rowOff>47625</xdr:rowOff>
    </xdr:to>
    <xdr:cxnSp macro="">
      <xdr:nvCxnSpPr>
        <xdr:cNvPr id="29" name="直線矢印コネクタ 28"/>
        <xdr:cNvCxnSpPr/>
      </xdr:nvCxnSpPr>
      <xdr:spPr>
        <a:xfrm>
          <a:off x="8229600" y="380047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55</xdr:row>
      <xdr:rowOff>133350</xdr:rowOff>
    </xdr:from>
    <xdr:to>
      <xdr:col>20</xdr:col>
      <xdr:colOff>7500</xdr:colOff>
      <xdr:row>55</xdr:row>
      <xdr:rowOff>133350</xdr:rowOff>
    </xdr:to>
    <xdr:cxnSp macro="">
      <xdr:nvCxnSpPr>
        <xdr:cNvPr id="30" name="直線矢印コネクタ 29"/>
        <xdr:cNvCxnSpPr/>
      </xdr:nvCxnSpPr>
      <xdr:spPr>
        <a:xfrm>
          <a:off x="1333500" y="7753350"/>
          <a:ext cx="2484000" cy="0"/>
        </a:xfrm>
        <a:prstGeom prst="straightConnector1">
          <a:avLst/>
        </a:prstGeom>
        <a:ln w="19050">
          <a:solidFill>
            <a:schemeClr val="tx1"/>
          </a:solidFill>
          <a:prstDash val="lgDash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9524</xdr:colOff>
      <xdr:row>40</xdr:row>
      <xdr:rowOff>7502</xdr:rowOff>
    </xdr:from>
    <xdr:to>
      <xdr:col>23</xdr:col>
      <xdr:colOff>9525</xdr:colOff>
      <xdr:row>55</xdr:row>
      <xdr:rowOff>2</xdr:rowOff>
    </xdr:to>
    <xdr:cxnSp macro="">
      <xdr:nvCxnSpPr>
        <xdr:cNvPr id="31" name="直線矢印コネクタ 30"/>
        <xdr:cNvCxnSpPr/>
      </xdr:nvCxnSpPr>
      <xdr:spPr>
        <a:xfrm rot="16200000" flipH="1">
          <a:off x="3394650" y="6623626"/>
          <a:ext cx="1992750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193675</xdr:colOff>
      <xdr:row>55</xdr:row>
      <xdr:rowOff>114300</xdr:rowOff>
    </xdr:from>
    <xdr:to>
      <xdr:col>33</xdr:col>
      <xdr:colOff>184150</xdr:colOff>
      <xdr:row>55</xdr:row>
      <xdr:rowOff>123826</xdr:rowOff>
    </xdr:to>
    <xdr:cxnSp macro="">
      <xdr:nvCxnSpPr>
        <xdr:cNvPr id="32" name="直線矢印コネクタ 31"/>
        <xdr:cNvCxnSpPr/>
      </xdr:nvCxnSpPr>
      <xdr:spPr>
        <a:xfrm flipV="1">
          <a:off x="4956175" y="7734300"/>
          <a:ext cx="1552575" cy="9526"/>
        </a:xfrm>
        <a:prstGeom prst="straightConnector1">
          <a:avLst/>
        </a:prstGeom>
        <a:ln w="19050">
          <a:solidFill>
            <a:schemeClr val="tx1"/>
          </a:solidFill>
          <a:prstDash val="lgDash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180976</xdr:colOff>
      <xdr:row>61</xdr:row>
      <xdr:rowOff>0</xdr:rowOff>
    </xdr:from>
    <xdr:to>
      <xdr:col>23</xdr:col>
      <xdr:colOff>19051</xdr:colOff>
      <xdr:row>61</xdr:row>
      <xdr:rowOff>2</xdr:rowOff>
    </xdr:to>
    <xdr:cxnSp macro="">
      <xdr:nvCxnSpPr>
        <xdr:cNvPr id="33" name="直線矢印コネクタ 32"/>
        <xdr:cNvCxnSpPr/>
      </xdr:nvCxnSpPr>
      <xdr:spPr>
        <a:xfrm rot="10800000" flipV="1">
          <a:off x="2276476" y="8420100"/>
          <a:ext cx="2124075" cy="2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19054</xdr:colOff>
      <xdr:row>38</xdr:row>
      <xdr:rowOff>0</xdr:rowOff>
    </xdr:from>
    <xdr:to>
      <xdr:col>19</xdr:col>
      <xdr:colOff>0</xdr:colOff>
      <xdr:row>38</xdr:row>
      <xdr:rowOff>2</xdr:rowOff>
    </xdr:to>
    <xdr:cxnSp macro="">
      <xdr:nvCxnSpPr>
        <xdr:cNvPr id="34" name="直線矢印コネクタ 33"/>
        <xdr:cNvCxnSpPr/>
      </xdr:nvCxnSpPr>
      <xdr:spPr>
        <a:xfrm flipV="1">
          <a:off x="2686054" y="5353050"/>
          <a:ext cx="933446" cy="2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</xdr:colOff>
      <xdr:row>38</xdr:row>
      <xdr:rowOff>123825</xdr:rowOff>
    </xdr:from>
    <xdr:to>
      <xdr:col>9</xdr:col>
      <xdr:colOff>15004</xdr:colOff>
      <xdr:row>38</xdr:row>
      <xdr:rowOff>123830</xdr:rowOff>
    </xdr:to>
    <xdr:cxnSp macro="">
      <xdr:nvCxnSpPr>
        <xdr:cNvPr id="35" name="直線矢印コネクタ 34"/>
        <xdr:cNvCxnSpPr/>
      </xdr:nvCxnSpPr>
      <xdr:spPr>
        <a:xfrm flipV="1">
          <a:off x="1333504" y="5476875"/>
          <a:ext cx="396000" cy="5"/>
        </a:xfrm>
        <a:prstGeom prst="straightConnector1">
          <a:avLst/>
        </a:prstGeom>
        <a:ln w="19050">
          <a:solidFill>
            <a:schemeClr val="tx1"/>
          </a:solidFill>
          <a:prstDash val="lgDashDot"/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40</xdr:row>
      <xdr:rowOff>17028</xdr:rowOff>
    </xdr:from>
    <xdr:to>
      <xdr:col>12</xdr:col>
      <xdr:colOff>1</xdr:colOff>
      <xdr:row>55</xdr:row>
      <xdr:rowOff>104778</xdr:rowOff>
    </xdr:to>
    <xdr:cxnSp macro="">
      <xdr:nvCxnSpPr>
        <xdr:cNvPr id="36" name="直線矢印コネクタ 35"/>
        <xdr:cNvCxnSpPr/>
      </xdr:nvCxnSpPr>
      <xdr:spPr>
        <a:xfrm rot="16200000" flipH="1">
          <a:off x="1242001" y="6680777"/>
          <a:ext cx="2088000" cy="1"/>
        </a:xfrm>
        <a:prstGeom prst="straightConnector1">
          <a:avLst/>
        </a:prstGeom>
        <a:ln w="25400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189709</xdr:colOff>
      <xdr:row>56</xdr:row>
      <xdr:rowOff>48422</xdr:rowOff>
    </xdr:from>
    <xdr:to>
      <xdr:col>12</xdr:col>
      <xdr:colOff>797</xdr:colOff>
      <xdr:row>60</xdr:row>
      <xdr:rowOff>127022</xdr:rowOff>
    </xdr:to>
    <xdr:cxnSp macro="">
      <xdr:nvCxnSpPr>
        <xdr:cNvPr id="37" name="直線矢印コネクタ 36"/>
        <xdr:cNvCxnSpPr/>
      </xdr:nvCxnSpPr>
      <xdr:spPr>
        <a:xfrm rot="5400000">
          <a:off x="1980003" y="8106978"/>
          <a:ext cx="612000" cy="1588"/>
        </a:xfrm>
        <a:prstGeom prst="straightConnector1">
          <a:avLst/>
        </a:prstGeom>
        <a:ln w="2540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9523</xdr:colOff>
      <xdr:row>57</xdr:row>
      <xdr:rowOff>4409</xdr:rowOff>
    </xdr:from>
    <xdr:to>
      <xdr:col>23</xdr:col>
      <xdr:colOff>9524</xdr:colOff>
      <xdr:row>74</xdr:row>
      <xdr:rowOff>22409</xdr:rowOff>
    </xdr:to>
    <xdr:cxnSp macro="">
      <xdr:nvCxnSpPr>
        <xdr:cNvPr id="38" name="直線矢印コネクタ 37"/>
        <xdr:cNvCxnSpPr/>
      </xdr:nvCxnSpPr>
      <xdr:spPr>
        <a:xfrm rot="16200000" flipH="1">
          <a:off x="3239024" y="9101379"/>
          <a:ext cx="2304000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33</xdr:row>
      <xdr:rowOff>114300</xdr:rowOff>
    </xdr:from>
    <xdr:to>
      <xdr:col>43</xdr:col>
      <xdr:colOff>9525</xdr:colOff>
      <xdr:row>41</xdr:row>
      <xdr:rowOff>127500</xdr:rowOff>
    </xdr:to>
    <xdr:cxnSp macro="">
      <xdr:nvCxnSpPr>
        <xdr:cNvPr id="39" name="直線矢印コネクタ 38"/>
        <xdr:cNvCxnSpPr/>
      </xdr:nvCxnSpPr>
      <xdr:spPr>
        <a:xfrm>
          <a:off x="8239125" y="4800600"/>
          <a:ext cx="0" cy="108000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41</xdr:row>
      <xdr:rowOff>104775</xdr:rowOff>
    </xdr:from>
    <xdr:to>
      <xdr:col>44</xdr:col>
      <xdr:colOff>169500</xdr:colOff>
      <xdr:row>41</xdr:row>
      <xdr:rowOff>104775</xdr:rowOff>
    </xdr:to>
    <xdr:cxnSp macro="">
      <xdr:nvCxnSpPr>
        <xdr:cNvPr id="40" name="直線矢印コネクタ 39"/>
        <xdr:cNvCxnSpPr/>
      </xdr:nvCxnSpPr>
      <xdr:spPr>
        <a:xfrm>
          <a:off x="8229600" y="585787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180975</xdr:colOff>
      <xdr:row>33</xdr:row>
      <xdr:rowOff>123825</xdr:rowOff>
    </xdr:from>
    <xdr:to>
      <xdr:col>44</xdr:col>
      <xdr:colOff>159975</xdr:colOff>
      <xdr:row>33</xdr:row>
      <xdr:rowOff>123825</xdr:rowOff>
    </xdr:to>
    <xdr:cxnSp macro="">
      <xdr:nvCxnSpPr>
        <xdr:cNvPr id="41" name="直線矢印コネクタ 40"/>
        <xdr:cNvCxnSpPr/>
      </xdr:nvCxnSpPr>
      <xdr:spPr>
        <a:xfrm>
          <a:off x="8220075" y="481012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47625</xdr:colOff>
      <xdr:row>37</xdr:row>
      <xdr:rowOff>57150</xdr:rowOff>
    </xdr:from>
    <xdr:to>
      <xdr:col>43</xdr:col>
      <xdr:colOff>16125</xdr:colOff>
      <xdr:row>37</xdr:row>
      <xdr:rowOff>57150</xdr:rowOff>
    </xdr:to>
    <xdr:cxnSp macro="">
      <xdr:nvCxnSpPr>
        <xdr:cNvPr id="42" name="直線矢印コネクタ 41"/>
        <xdr:cNvCxnSpPr/>
      </xdr:nvCxnSpPr>
      <xdr:spPr>
        <a:xfrm>
          <a:off x="7705725" y="5276850"/>
          <a:ext cx="54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180975</xdr:colOff>
      <xdr:row>37</xdr:row>
      <xdr:rowOff>0</xdr:rowOff>
    </xdr:from>
    <xdr:to>
      <xdr:col>31</xdr:col>
      <xdr:colOff>5475</xdr:colOff>
      <xdr:row>37</xdr:row>
      <xdr:rowOff>0</xdr:rowOff>
    </xdr:to>
    <xdr:cxnSp macro="">
      <xdr:nvCxnSpPr>
        <xdr:cNvPr id="43" name="直線矢印コネクタ 42"/>
        <xdr:cNvCxnSpPr/>
      </xdr:nvCxnSpPr>
      <xdr:spPr>
        <a:xfrm>
          <a:off x="5553075" y="5219700"/>
          <a:ext cx="396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10</xdr:row>
      <xdr:rowOff>9526</xdr:rowOff>
    </xdr:from>
    <xdr:to>
      <xdr:col>11</xdr:col>
      <xdr:colOff>9527</xdr:colOff>
      <xdr:row>15</xdr:row>
      <xdr:rowOff>19050</xdr:rowOff>
    </xdr:to>
    <xdr:cxnSp macro="">
      <xdr:nvCxnSpPr>
        <xdr:cNvPr id="44" name="直線矢印コネクタ 43"/>
        <xdr:cNvCxnSpPr/>
      </xdr:nvCxnSpPr>
      <xdr:spPr>
        <a:xfrm rot="5400000">
          <a:off x="1766889" y="1966912"/>
          <a:ext cx="676274" cy="2"/>
        </a:xfrm>
        <a:prstGeom prst="straightConnector1">
          <a:avLst/>
        </a:prstGeom>
        <a:ln w="254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10</xdr:row>
      <xdr:rowOff>9525</xdr:rowOff>
    </xdr:from>
    <xdr:to>
      <xdr:col>22</xdr:col>
      <xdr:colOff>171450</xdr:colOff>
      <xdr:row>30</xdr:row>
      <xdr:rowOff>10575</xdr:rowOff>
    </xdr:to>
    <xdr:cxnSp macro="">
      <xdr:nvCxnSpPr>
        <xdr:cNvPr id="45" name="直線矢印コネクタ 44"/>
        <xdr:cNvCxnSpPr/>
      </xdr:nvCxnSpPr>
      <xdr:spPr>
        <a:xfrm flipH="1">
          <a:off x="4362450" y="1628775"/>
          <a:ext cx="0" cy="266805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22</xdr:row>
      <xdr:rowOff>22225</xdr:rowOff>
    </xdr:from>
    <xdr:to>
      <xdr:col>51</xdr:col>
      <xdr:colOff>8850</xdr:colOff>
      <xdr:row>22</xdr:row>
      <xdr:rowOff>22225</xdr:rowOff>
    </xdr:to>
    <xdr:cxnSp macro="">
      <xdr:nvCxnSpPr>
        <xdr:cNvPr id="46" name="直線矢印コネクタ 45"/>
        <xdr:cNvCxnSpPr/>
      </xdr:nvCxnSpPr>
      <xdr:spPr>
        <a:xfrm>
          <a:off x="4362450" y="3241675"/>
          <a:ext cx="5400000" cy="0"/>
        </a:xfrm>
        <a:prstGeom prst="straightConnector1">
          <a:avLst/>
        </a:prstGeom>
        <a:ln w="2540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10</xdr:row>
      <xdr:rowOff>9526</xdr:rowOff>
    </xdr:from>
    <xdr:to>
      <xdr:col>11</xdr:col>
      <xdr:colOff>9527</xdr:colOff>
      <xdr:row>15</xdr:row>
      <xdr:rowOff>19050</xdr:rowOff>
    </xdr:to>
    <xdr:cxnSp macro="">
      <xdr:nvCxnSpPr>
        <xdr:cNvPr id="47" name="直線矢印コネクタ 46"/>
        <xdr:cNvCxnSpPr/>
      </xdr:nvCxnSpPr>
      <xdr:spPr>
        <a:xfrm rot="5400000">
          <a:off x="1766889" y="1966912"/>
          <a:ext cx="676274" cy="2"/>
        </a:xfrm>
        <a:prstGeom prst="straightConnector1">
          <a:avLst/>
        </a:prstGeom>
        <a:ln w="25400">
          <a:solidFill>
            <a:schemeClr val="tx1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9526</xdr:colOff>
      <xdr:row>16</xdr:row>
      <xdr:rowOff>125626</xdr:rowOff>
    </xdr:from>
    <xdr:to>
      <xdr:col>43</xdr:col>
      <xdr:colOff>9527</xdr:colOff>
      <xdr:row>22</xdr:row>
      <xdr:rowOff>9526</xdr:rowOff>
    </xdr:to>
    <xdr:cxnSp macro="">
      <xdr:nvCxnSpPr>
        <xdr:cNvPr id="48" name="直線矢印コネクタ 47"/>
        <xdr:cNvCxnSpPr/>
      </xdr:nvCxnSpPr>
      <xdr:spPr>
        <a:xfrm rot="16200000" flipH="1">
          <a:off x="7897127" y="2886975"/>
          <a:ext cx="684000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</xdr:colOff>
      <xdr:row>17</xdr:row>
      <xdr:rowOff>1801</xdr:rowOff>
    </xdr:from>
    <xdr:to>
      <xdr:col>51</xdr:col>
      <xdr:colOff>2</xdr:colOff>
      <xdr:row>22</xdr:row>
      <xdr:rowOff>19051</xdr:rowOff>
    </xdr:to>
    <xdr:cxnSp macro="">
      <xdr:nvCxnSpPr>
        <xdr:cNvPr id="49" name="直線矢印コネクタ 48"/>
        <xdr:cNvCxnSpPr/>
      </xdr:nvCxnSpPr>
      <xdr:spPr>
        <a:xfrm rot="16200000" flipH="1">
          <a:off x="9411602" y="2896500"/>
          <a:ext cx="684000" cy="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14</xdr:row>
      <xdr:rowOff>123825</xdr:rowOff>
    </xdr:from>
    <xdr:to>
      <xdr:col>11</xdr:col>
      <xdr:colOff>10321</xdr:colOff>
      <xdr:row>37</xdr:row>
      <xdr:rowOff>8775</xdr:rowOff>
    </xdr:to>
    <xdr:cxnSp macro="">
      <xdr:nvCxnSpPr>
        <xdr:cNvPr id="50" name="直線矢印コネクタ 49"/>
        <xdr:cNvCxnSpPr/>
      </xdr:nvCxnSpPr>
      <xdr:spPr>
        <a:xfrm flipH="1">
          <a:off x="2105025" y="2276475"/>
          <a:ext cx="796" cy="29520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33</xdr:row>
      <xdr:rowOff>114300</xdr:rowOff>
    </xdr:from>
    <xdr:to>
      <xdr:col>43</xdr:col>
      <xdr:colOff>9525</xdr:colOff>
      <xdr:row>41</xdr:row>
      <xdr:rowOff>127500</xdr:rowOff>
    </xdr:to>
    <xdr:cxnSp macro="">
      <xdr:nvCxnSpPr>
        <xdr:cNvPr id="51" name="直線矢印コネクタ 50"/>
        <xdr:cNvCxnSpPr/>
      </xdr:nvCxnSpPr>
      <xdr:spPr>
        <a:xfrm>
          <a:off x="8239125" y="4800600"/>
          <a:ext cx="0" cy="108000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41</xdr:row>
      <xdr:rowOff>104775</xdr:rowOff>
    </xdr:from>
    <xdr:to>
      <xdr:col>44</xdr:col>
      <xdr:colOff>169500</xdr:colOff>
      <xdr:row>41</xdr:row>
      <xdr:rowOff>104775</xdr:rowOff>
    </xdr:to>
    <xdr:cxnSp macro="">
      <xdr:nvCxnSpPr>
        <xdr:cNvPr id="52" name="直線矢印コネクタ 51"/>
        <xdr:cNvCxnSpPr/>
      </xdr:nvCxnSpPr>
      <xdr:spPr>
        <a:xfrm>
          <a:off x="8229600" y="585787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180975</xdr:colOff>
      <xdr:row>33</xdr:row>
      <xdr:rowOff>123825</xdr:rowOff>
    </xdr:from>
    <xdr:to>
      <xdr:col>44</xdr:col>
      <xdr:colOff>159975</xdr:colOff>
      <xdr:row>33</xdr:row>
      <xdr:rowOff>123825</xdr:rowOff>
    </xdr:to>
    <xdr:cxnSp macro="">
      <xdr:nvCxnSpPr>
        <xdr:cNvPr id="53" name="直線矢印コネクタ 52"/>
        <xdr:cNvCxnSpPr/>
      </xdr:nvCxnSpPr>
      <xdr:spPr>
        <a:xfrm>
          <a:off x="8220075" y="481012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41</xdr:row>
      <xdr:rowOff>104775</xdr:rowOff>
    </xdr:from>
    <xdr:to>
      <xdr:col>44</xdr:col>
      <xdr:colOff>169500</xdr:colOff>
      <xdr:row>41</xdr:row>
      <xdr:rowOff>104775</xdr:rowOff>
    </xdr:to>
    <xdr:cxnSp macro="">
      <xdr:nvCxnSpPr>
        <xdr:cNvPr id="54" name="直線矢印コネクタ 53"/>
        <xdr:cNvCxnSpPr/>
      </xdr:nvCxnSpPr>
      <xdr:spPr>
        <a:xfrm>
          <a:off x="8229600" y="585787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180975</xdr:colOff>
      <xdr:row>33</xdr:row>
      <xdr:rowOff>123825</xdr:rowOff>
    </xdr:from>
    <xdr:to>
      <xdr:col>44</xdr:col>
      <xdr:colOff>159975</xdr:colOff>
      <xdr:row>33</xdr:row>
      <xdr:rowOff>123825</xdr:rowOff>
    </xdr:to>
    <xdr:cxnSp macro="">
      <xdr:nvCxnSpPr>
        <xdr:cNvPr id="55" name="直線矢印コネクタ 54"/>
        <xdr:cNvCxnSpPr/>
      </xdr:nvCxnSpPr>
      <xdr:spPr>
        <a:xfrm>
          <a:off x="8220075" y="481012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26</xdr:row>
      <xdr:rowOff>38100</xdr:rowOff>
    </xdr:from>
    <xdr:to>
      <xdr:col>43</xdr:col>
      <xdr:colOff>9525</xdr:colOff>
      <xdr:row>41</xdr:row>
      <xdr:rowOff>125850</xdr:rowOff>
    </xdr:to>
    <xdr:cxnSp macro="">
      <xdr:nvCxnSpPr>
        <xdr:cNvPr id="56" name="直線矢印コネクタ 55"/>
        <xdr:cNvCxnSpPr/>
      </xdr:nvCxnSpPr>
      <xdr:spPr>
        <a:xfrm>
          <a:off x="8239125" y="3790950"/>
          <a:ext cx="0" cy="208800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26</xdr:row>
      <xdr:rowOff>47625</xdr:rowOff>
    </xdr:from>
    <xdr:to>
      <xdr:col>44</xdr:col>
      <xdr:colOff>169500</xdr:colOff>
      <xdr:row>26</xdr:row>
      <xdr:rowOff>47625</xdr:rowOff>
    </xdr:to>
    <xdr:cxnSp macro="">
      <xdr:nvCxnSpPr>
        <xdr:cNvPr id="57" name="直線矢印コネクタ 56"/>
        <xdr:cNvCxnSpPr/>
      </xdr:nvCxnSpPr>
      <xdr:spPr>
        <a:xfrm>
          <a:off x="8229600" y="3800475"/>
          <a:ext cx="360000" cy="0"/>
        </a:xfrm>
        <a:prstGeom prst="straightConnector1">
          <a:avLst/>
        </a:prstGeom>
        <a:ln w="25400">
          <a:solidFill>
            <a:srgbClr val="FFFF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10&#24180;&#65288;&#24179;&#25104;22&#24180;&#65289;\10&#26481;&#20140;\T-10-225&#19979;&#27700;&#36947;&#32113;&#35336;&#65288;H21&#29256;&#65289;\05_&#35201;&#35239;&#20316;&#25104;\_&#12522;&#12531;&#12463;&#20316;&#25104;\&#21442;&#29031;&#12377;&#12427;&#20803;&#12487;&#12540;&#12479;\06&#20966;&#29702;&#22580;&#65288;&#12381;&#12398;&#65297;&#65289;&#35519;&#26619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1\q00181\&#12458;&#12540;&#12480;\&#36914;&#34892;&#24037;&#20107;\&#12375;&#23615;\A79788\H&#22522;&#26412;&#35373;\H3&#27231;&#22120;&#65432;&#65405;\&#27231;&#22120;&#65432;&#65405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処理場（その１）調査"/>
      <sheetName val="06処理場（その１）調査-2"/>
      <sheetName val="Sheet1"/>
      <sheetName val="事業区分名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01</v>
          </cell>
          <cell r="B3" t="str">
            <v>公共 単独</v>
          </cell>
          <cell r="C3" t="str">
            <v>公共下水道</v>
          </cell>
          <cell r="D3" t="str">
            <v>単独</v>
          </cell>
        </row>
        <row r="4">
          <cell r="A4" t="str">
            <v>02</v>
          </cell>
          <cell r="B4" t="str">
            <v>特環 単独</v>
          </cell>
          <cell r="C4" t="str">
            <v>特定環境保全公共下水道</v>
          </cell>
          <cell r="D4" t="str">
            <v>単独</v>
          </cell>
        </row>
        <row r="5">
          <cell r="A5" t="str">
            <v>03</v>
          </cell>
          <cell r="B5" t="str">
            <v>特定 単独</v>
          </cell>
          <cell r="C5" t="str">
            <v>特定公共下水道</v>
          </cell>
          <cell r="D5" t="str">
            <v>単独</v>
          </cell>
        </row>
        <row r="6">
          <cell r="A6" t="str">
            <v>11</v>
          </cell>
          <cell r="B6" t="str">
            <v>公共 流関</v>
          </cell>
          <cell r="C6" t="str">
            <v>公共下水道</v>
          </cell>
          <cell r="D6" t="str">
            <v>流域関連</v>
          </cell>
        </row>
        <row r="7">
          <cell r="A7" t="str">
            <v>12</v>
          </cell>
          <cell r="B7" t="str">
            <v>公共 流関</v>
          </cell>
          <cell r="C7" t="str">
            <v>公共下水道</v>
          </cell>
          <cell r="D7" t="str">
            <v>流域関連</v>
          </cell>
        </row>
        <row r="8">
          <cell r="A8" t="str">
            <v>13</v>
          </cell>
          <cell r="B8" t="str">
            <v>公共 流関</v>
          </cell>
          <cell r="C8" t="str">
            <v>公共下水道</v>
          </cell>
          <cell r="D8" t="str">
            <v>流域関連</v>
          </cell>
        </row>
        <row r="9">
          <cell r="A9" t="str">
            <v>14</v>
          </cell>
          <cell r="B9" t="str">
            <v>公共 流関</v>
          </cell>
          <cell r="C9" t="str">
            <v>公共下水道</v>
          </cell>
          <cell r="D9" t="str">
            <v>流域関連</v>
          </cell>
        </row>
        <row r="10">
          <cell r="A10" t="str">
            <v>15</v>
          </cell>
          <cell r="B10" t="str">
            <v>公共 流関</v>
          </cell>
          <cell r="C10" t="str">
            <v>公共下水道</v>
          </cell>
          <cell r="D10" t="str">
            <v>流域関連</v>
          </cell>
        </row>
        <row r="11">
          <cell r="A11" t="str">
            <v>21</v>
          </cell>
          <cell r="B11" t="str">
            <v>特環 流関</v>
          </cell>
          <cell r="C11" t="str">
            <v>特定環境保全公共下水道</v>
          </cell>
          <cell r="D11" t="str">
            <v>流域関連</v>
          </cell>
        </row>
        <row r="12">
          <cell r="A12" t="str">
            <v>22</v>
          </cell>
          <cell r="B12" t="str">
            <v>特環 流関</v>
          </cell>
          <cell r="C12" t="str">
            <v>特定環境保全公共下水道</v>
          </cell>
          <cell r="D12" t="str">
            <v>流域関連</v>
          </cell>
        </row>
        <row r="13">
          <cell r="A13" t="str">
            <v>23</v>
          </cell>
          <cell r="B13" t="str">
            <v>特環 流関</v>
          </cell>
          <cell r="C13" t="str">
            <v>特定環境保全公共下水道</v>
          </cell>
          <cell r="D13" t="str">
            <v>流域関連</v>
          </cell>
        </row>
        <row r="14">
          <cell r="A14" t="str">
            <v>31</v>
          </cell>
          <cell r="B14" t="str">
            <v>特環 公共関連</v>
          </cell>
          <cell r="C14" t="str">
            <v>特定環境保全公共下水道</v>
          </cell>
          <cell r="D14" t="str">
            <v>公共関連</v>
          </cell>
        </row>
        <row r="15">
          <cell r="A15" t="str">
            <v>32</v>
          </cell>
          <cell r="B15" t="str">
            <v>特環 公共関連</v>
          </cell>
          <cell r="C15" t="str">
            <v>特定環境保全公共下水道</v>
          </cell>
          <cell r="D15" t="str">
            <v>公共関連</v>
          </cell>
        </row>
        <row r="16">
          <cell r="A16" t="str">
            <v>33</v>
          </cell>
          <cell r="B16" t="str">
            <v>特環 公共関連</v>
          </cell>
          <cell r="C16" t="str">
            <v>特定環境保全公共下水道</v>
          </cell>
          <cell r="D16" t="str">
            <v>公共関連</v>
          </cell>
        </row>
        <row r="17">
          <cell r="A17" t="str">
            <v>51</v>
          </cell>
          <cell r="B17" t="str">
            <v>公共 他団体接続</v>
          </cell>
          <cell r="C17" t="str">
            <v>公共下水道</v>
          </cell>
          <cell r="D17" t="str">
            <v>他団体接続</v>
          </cell>
        </row>
        <row r="18">
          <cell r="A18" t="str">
            <v>61</v>
          </cell>
          <cell r="B18" t="str">
            <v>特環 他団体接続</v>
          </cell>
          <cell r="C18" t="str">
            <v>特定環境保全公共下水道</v>
          </cell>
          <cell r="D18" t="str">
            <v>他団体接続</v>
          </cell>
        </row>
        <row r="19">
          <cell r="A19" t="str">
            <v>81</v>
          </cell>
          <cell r="B19" t="str">
            <v>流域</v>
          </cell>
          <cell r="C19" t="str">
            <v>流域下水道</v>
          </cell>
          <cell r="D19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"/>
      <sheetName val="表形式"/>
      <sheetName val="帳票"/>
      <sheetName val="脱臭リスト"/>
      <sheetName val="臭脱ガス集計表"/>
      <sheetName val="各所排気量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53"/>
  <sheetViews>
    <sheetView tabSelected="1" topLeftCell="A4" workbookViewId="0">
      <selection activeCell="L15" sqref="L15"/>
    </sheetView>
  </sheetViews>
  <sheetFormatPr defaultColWidth="2.875" defaultRowHeight="13.5" customHeight="1" x14ac:dyDescent="0.15"/>
  <cols>
    <col min="1" max="9" width="2.875" style="36"/>
    <col min="10" max="10" width="2.875" style="177"/>
    <col min="11" max="11" width="2.875" style="36"/>
    <col min="12" max="12" width="11" style="36" customWidth="1"/>
    <col min="13" max="14" width="2.875" style="36"/>
    <col min="15" max="15" width="8.625" style="36" customWidth="1"/>
    <col min="16" max="17" width="2.875" style="36"/>
    <col min="18" max="18" width="8.625" style="369" customWidth="1"/>
    <col min="19" max="19" width="5.625" style="369" customWidth="1"/>
    <col min="20" max="21" width="2.875" style="369"/>
    <col min="22" max="22" width="6.375" style="369" customWidth="1"/>
    <col min="23" max="16384" width="2.875" style="369"/>
  </cols>
  <sheetData>
    <row r="1" spans="1:29" ht="13.5" customHeight="1" x14ac:dyDescent="0.15">
      <c r="B1" s="36" t="s">
        <v>609</v>
      </c>
    </row>
    <row r="2" spans="1:29" ht="13.5" customHeight="1" x14ac:dyDescent="0.15">
      <c r="K2" s="177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ht="13.5" customHeight="1" x14ac:dyDescent="0.15">
      <c r="K3" s="177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 ht="13.5" customHeight="1" x14ac:dyDescent="0.15">
      <c r="A4" s="174" t="s">
        <v>629</v>
      </c>
      <c r="B4" s="36" t="s">
        <v>619</v>
      </c>
      <c r="K4" s="177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1:29" ht="13.5" customHeight="1" x14ac:dyDescent="0.15">
      <c r="A5" s="369"/>
      <c r="K5" s="177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ht="13.5" customHeight="1" x14ac:dyDescent="0.15">
      <c r="A6" s="369"/>
      <c r="B6" s="36" t="s">
        <v>614</v>
      </c>
      <c r="J6" s="102" t="s">
        <v>616</v>
      </c>
      <c r="K6" s="177"/>
      <c r="L6" s="403">
        <v>30000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29" ht="13.5" customHeight="1" x14ac:dyDescent="0.15">
      <c r="B7" s="36" t="s">
        <v>615</v>
      </c>
      <c r="J7" s="102" t="s">
        <v>616</v>
      </c>
      <c r="K7" s="177"/>
      <c r="L7" s="370">
        <f>L6*S7</f>
        <v>37500</v>
      </c>
      <c r="O7" s="371" t="s">
        <v>279</v>
      </c>
      <c r="P7" s="372"/>
      <c r="S7" s="373">
        <v>1.25</v>
      </c>
      <c r="T7" s="36"/>
      <c r="U7" s="36"/>
      <c r="W7" s="36"/>
      <c r="Y7" s="36"/>
      <c r="Z7" s="36"/>
      <c r="AA7" s="36"/>
      <c r="AB7" s="36"/>
      <c r="AC7" s="36"/>
    </row>
    <row r="8" spans="1:29" ht="13.5" customHeight="1" x14ac:dyDescent="0.15">
      <c r="J8" s="102"/>
      <c r="K8" s="177"/>
      <c r="L8" s="366"/>
      <c r="O8" s="371"/>
      <c r="P8" s="372"/>
      <c r="S8" s="36"/>
      <c r="T8" s="36"/>
      <c r="U8" s="36"/>
      <c r="V8" s="374"/>
      <c r="W8" s="36"/>
      <c r="Y8" s="36"/>
      <c r="Z8" s="36"/>
      <c r="AA8" s="36"/>
      <c r="AB8" s="36"/>
      <c r="AC8" s="36"/>
    </row>
    <row r="9" spans="1:29" ht="13.5" customHeight="1" x14ac:dyDescent="0.15">
      <c r="B9" s="36" t="s">
        <v>617</v>
      </c>
      <c r="J9" s="102"/>
      <c r="K9" s="177"/>
      <c r="L9" s="404" t="s">
        <v>620</v>
      </c>
      <c r="O9" s="371" t="s">
        <v>621</v>
      </c>
      <c r="P9" s="372"/>
      <c r="S9" s="36"/>
      <c r="T9" s="36"/>
      <c r="U9" s="36"/>
      <c r="V9" s="374"/>
      <c r="W9" s="36"/>
      <c r="Y9" s="36"/>
      <c r="Z9" s="36"/>
      <c r="AA9" s="36"/>
      <c r="AB9" s="36"/>
      <c r="AC9" s="36"/>
    </row>
    <row r="10" spans="1:29" ht="13.5" customHeight="1" x14ac:dyDescent="0.15">
      <c r="J10" s="102"/>
      <c r="K10" s="177"/>
      <c r="L10" s="366"/>
      <c r="O10" s="371"/>
      <c r="P10" s="372"/>
      <c r="S10" s="36"/>
      <c r="T10" s="36"/>
      <c r="U10" s="36"/>
      <c r="V10" s="374"/>
      <c r="W10" s="36"/>
      <c r="Y10" s="36"/>
      <c r="Z10" s="36"/>
      <c r="AA10" s="36"/>
      <c r="AB10" s="36"/>
      <c r="AC10" s="36"/>
    </row>
    <row r="11" spans="1:29" ht="13.5" customHeight="1" x14ac:dyDescent="0.15">
      <c r="B11" s="36" t="s">
        <v>623</v>
      </c>
      <c r="J11" s="102"/>
      <c r="K11" s="177"/>
      <c r="L11" s="409" t="s">
        <v>624</v>
      </c>
      <c r="O11" s="408" t="s">
        <v>643</v>
      </c>
      <c r="P11" s="372"/>
      <c r="S11" s="36"/>
      <c r="T11" s="36"/>
      <c r="U11" s="36"/>
      <c r="V11" s="374"/>
      <c r="W11" s="36"/>
      <c r="Y11" s="36"/>
      <c r="Z11" s="36"/>
      <c r="AA11" s="36"/>
      <c r="AB11" s="36"/>
      <c r="AC11" s="36"/>
    </row>
    <row r="12" spans="1:29" ht="13.5" customHeight="1" x14ac:dyDescent="0.15">
      <c r="J12" s="102"/>
      <c r="K12" s="177"/>
      <c r="L12" s="366"/>
      <c r="O12" s="371"/>
      <c r="P12" s="372"/>
      <c r="S12" s="36"/>
      <c r="T12" s="36"/>
      <c r="U12" s="36"/>
      <c r="V12" s="374"/>
      <c r="W12" s="36"/>
      <c r="Y12" s="36"/>
      <c r="Z12" s="36"/>
      <c r="AA12" s="36"/>
      <c r="AB12" s="36"/>
      <c r="AC12" s="36"/>
    </row>
    <row r="13" spans="1:29" ht="13.5" customHeight="1" x14ac:dyDescent="0.15">
      <c r="B13" s="36" t="s">
        <v>622</v>
      </c>
      <c r="J13" s="102"/>
      <c r="K13" s="177"/>
      <c r="L13" s="404" t="s">
        <v>644</v>
      </c>
      <c r="O13" s="371" t="s">
        <v>628</v>
      </c>
      <c r="P13" s="372"/>
      <c r="S13" s="36"/>
      <c r="T13" s="36"/>
      <c r="U13" s="36"/>
      <c r="V13" s="374"/>
      <c r="W13" s="36"/>
      <c r="Y13" s="36"/>
      <c r="Z13" s="36"/>
      <c r="AA13" s="36"/>
      <c r="AB13" s="36"/>
      <c r="AC13" s="36"/>
    </row>
    <row r="14" spans="1:29" ht="13.5" customHeight="1" x14ac:dyDescent="0.15">
      <c r="J14" s="102"/>
      <c r="K14" s="177"/>
      <c r="L14" s="366"/>
      <c r="O14" s="371"/>
      <c r="P14" s="372"/>
      <c r="S14" s="36"/>
      <c r="T14" s="36"/>
      <c r="U14" s="36"/>
      <c r="V14" s="374"/>
      <c r="W14" s="36"/>
      <c r="Y14" s="36"/>
      <c r="Z14" s="36"/>
      <c r="AA14" s="36"/>
      <c r="AB14" s="36"/>
      <c r="AC14" s="36"/>
    </row>
    <row r="15" spans="1:29" ht="13.5" customHeight="1" x14ac:dyDescent="0.15">
      <c r="B15" s="368" t="s">
        <v>613</v>
      </c>
      <c r="J15" s="102"/>
      <c r="K15" s="177"/>
      <c r="L15" s="402" t="s">
        <v>645</v>
      </c>
      <c r="O15" s="371" t="s">
        <v>625</v>
      </c>
      <c r="P15" s="372"/>
      <c r="S15" s="36"/>
      <c r="T15" s="36"/>
      <c r="U15" s="36"/>
      <c r="V15" s="374"/>
      <c r="W15" s="36"/>
      <c r="Y15" s="36"/>
      <c r="Z15" s="36"/>
      <c r="AA15" s="36"/>
      <c r="AB15" s="36"/>
      <c r="AC15" s="36"/>
    </row>
    <row r="16" spans="1:29" ht="13.5" customHeight="1" x14ac:dyDescent="0.15">
      <c r="K16" s="177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</row>
    <row r="17" spans="1:30" ht="13.5" customHeight="1" x14ac:dyDescent="0.15">
      <c r="K17" s="177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</row>
    <row r="18" spans="1:30" ht="13.5" customHeight="1" x14ac:dyDescent="0.15">
      <c r="A18" s="174" t="s">
        <v>630</v>
      </c>
      <c r="B18" s="36" t="s">
        <v>635</v>
      </c>
      <c r="K18" s="177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</row>
    <row r="19" spans="1:30" ht="13.5" customHeight="1" x14ac:dyDescent="0.15">
      <c r="A19" s="369"/>
      <c r="B19" s="174" t="s">
        <v>636</v>
      </c>
      <c r="C19" s="36" t="s">
        <v>247</v>
      </c>
      <c r="H19" s="188" t="s">
        <v>245</v>
      </c>
      <c r="K19" s="177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</row>
    <row r="20" spans="1:30" ht="13.5" customHeight="1" x14ac:dyDescent="0.15">
      <c r="K20" s="177"/>
      <c r="L20" s="36" t="s">
        <v>208</v>
      </c>
      <c r="O20" s="36" t="s">
        <v>618</v>
      </c>
      <c r="R20" s="36" t="s">
        <v>210</v>
      </c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</row>
    <row r="21" spans="1:30" ht="13.5" customHeight="1" x14ac:dyDescent="0.15">
      <c r="C21" s="171" t="s">
        <v>225</v>
      </c>
      <c r="D21" s="375"/>
      <c r="E21" s="375"/>
      <c r="F21" s="375"/>
      <c r="G21" s="375"/>
      <c r="H21" s="375"/>
      <c r="I21" s="375"/>
      <c r="J21" s="102" t="s">
        <v>236</v>
      </c>
      <c r="K21" s="102"/>
      <c r="L21" s="376">
        <f>ROUND(1.7*L6/10000,2)</f>
        <v>5.0999999999999996</v>
      </c>
      <c r="M21" s="377"/>
      <c r="N21" s="377"/>
      <c r="O21" s="392">
        <f>IF($L$9="あり",L21*0.2/1.7,0)</f>
        <v>0.6</v>
      </c>
      <c r="P21" s="367"/>
      <c r="Q21" s="379"/>
      <c r="R21" s="392">
        <f>IF($L$9="あり",L21*0.1/1.7,0)</f>
        <v>0.3</v>
      </c>
      <c r="S21" s="36"/>
      <c r="T21" s="36"/>
      <c r="U21" s="36"/>
      <c r="V21" s="36"/>
      <c r="W21" s="36"/>
      <c r="X21" s="36"/>
      <c r="Y21" s="36"/>
      <c r="Z21" s="188"/>
      <c r="AB21" s="177"/>
      <c r="AC21" s="36"/>
      <c r="AD21" s="36"/>
    </row>
    <row r="22" spans="1:30" ht="13.5" customHeight="1" x14ac:dyDescent="0.15">
      <c r="C22" s="171" t="s">
        <v>226</v>
      </c>
      <c r="D22" s="375"/>
      <c r="E22" s="375"/>
      <c r="F22" s="375"/>
      <c r="G22" s="375"/>
      <c r="H22" s="375"/>
      <c r="I22" s="375"/>
      <c r="J22" s="177" t="s">
        <v>237</v>
      </c>
      <c r="K22" s="177"/>
      <c r="L22" s="376">
        <v>3.5</v>
      </c>
      <c r="M22" s="378"/>
      <c r="N22" s="378"/>
      <c r="O22" s="376">
        <v>15</v>
      </c>
      <c r="P22" s="367"/>
      <c r="Q22" s="379"/>
      <c r="R22" s="376">
        <v>15</v>
      </c>
      <c r="S22" s="36"/>
      <c r="T22" s="36"/>
      <c r="U22" s="36"/>
      <c r="V22" s="36"/>
      <c r="W22" s="36"/>
      <c r="X22" s="36"/>
      <c r="Y22" s="36"/>
      <c r="AB22" s="177"/>
      <c r="AC22" s="36"/>
      <c r="AD22" s="36"/>
    </row>
    <row r="23" spans="1:30" ht="13.5" customHeight="1" x14ac:dyDescent="0.15">
      <c r="C23" s="171" t="s">
        <v>227</v>
      </c>
      <c r="D23" s="375"/>
      <c r="E23" s="375"/>
      <c r="F23" s="375"/>
      <c r="G23" s="375"/>
      <c r="H23" s="375"/>
      <c r="I23" s="375"/>
      <c r="J23" s="177" t="s">
        <v>238</v>
      </c>
      <c r="K23" s="177"/>
      <c r="L23" s="380">
        <v>80</v>
      </c>
      <c r="M23" s="378"/>
      <c r="N23" s="378"/>
      <c r="O23" s="380">
        <v>80</v>
      </c>
      <c r="P23" s="367"/>
      <c r="Q23" s="379"/>
      <c r="R23" s="381">
        <v>90</v>
      </c>
      <c r="S23" s="36"/>
      <c r="T23" s="36"/>
      <c r="U23" s="36"/>
      <c r="V23" s="36"/>
      <c r="W23" s="36"/>
      <c r="X23" s="36"/>
      <c r="Y23" s="36"/>
      <c r="AA23" s="36"/>
      <c r="AB23" s="36"/>
      <c r="AC23" s="36"/>
    </row>
    <row r="24" spans="1:30" ht="13.5" customHeight="1" x14ac:dyDescent="0.15">
      <c r="K24" s="177"/>
      <c r="L24" s="177"/>
      <c r="R24" s="36"/>
      <c r="S24" s="36"/>
      <c r="T24" s="36"/>
      <c r="U24" s="36"/>
      <c r="V24" s="36"/>
      <c r="W24" s="36"/>
      <c r="X24" s="36"/>
      <c r="Y24" s="36"/>
      <c r="AA24" s="36"/>
      <c r="AB24" s="36"/>
      <c r="AC24" s="36"/>
    </row>
    <row r="25" spans="1:30" ht="13.5" customHeight="1" x14ac:dyDescent="0.15">
      <c r="B25" s="174" t="s">
        <v>565</v>
      </c>
      <c r="C25" s="43" t="s">
        <v>36</v>
      </c>
      <c r="K25" s="177"/>
      <c r="L25" s="177"/>
      <c r="R25" s="36"/>
      <c r="S25" s="36"/>
      <c r="T25" s="36"/>
      <c r="U25" s="36"/>
      <c r="V25" s="36"/>
      <c r="W25" s="36"/>
      <c r="X25" s="36"/>
      <c r="Y25" s="36"/>
      <c r="AA25" s="36"/>
      <c r="AB25" s="36"/>
      <c r="AC25" s="36"/>
    </row>
    <row r="26" spans="1:30" ht="13.5" customHeight="1" x14ac:dyDescent="0.15">
      <c r="C26" s="43" t="s">
        <v>203</v>
      </c>
      <c r="D26" s="43"/>
      <c r="E26" s="43"/>
      <c r="F26" s="43"/>
      <c r="G26" s="43"/>
      <c r="H26" s="43"/>
      <c r="I26" s="43"/>
      <c r="J26" s="102" t="s">
        <v>240</v>
      </c>
      <c r="K26" s="102"/>
      <c r="L26" s="387">
        <v>23</v>
      </c>
      <c r="M26" s="382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spans="1:30" ht="13.5" customHeight="1" x14ac:dyDescent="0.15">
      <c r="C27" s="43" t="s">
        <v>212</v>
      </c>
      <c r="D27" s="43"/>
      <c r="E27" s="43"/>
      <c r="F27" s="43"/>
      <c r="G27" s="43"/>
      <c r="H27" s="43"/>
      <c r="I27" s="43"/>
      <c r="J27" s="102" t="s">
        <v>240</v>
      </c>
      <c r="K27" s="102"/>
      <c r="L27" s="387">
        <v>37</v>
      </c>
      <c r="M27" s="382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</row>
    <row r="28" spans="1:30" ht="13.5" customHeight="1" x14ac:dyDescent="0.15">
      <c r="K28" s="177"/>
      <c r="L28" s="388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</row>
    <row r="29" spans="1:30" ht="13.5" customHeight="1" x14ac:dyDescent="0.15">
      <c r="B29" s="174" t="s">
        <v>567</v>
      </c>
      <c r="C29" s="43" t="s">
        <v>217</v>
      </c>
      <c r="K29" s="177"/>
      <c r="L29" s="388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</row>
    <row r="30" spans="1:30" ht="13.5" customHeight="1" x14ac:dyDescent="0.15">
      <c r="C30" s="43" t="s">
        <v>35</v>
      </c>
      <c r="D30" s="43"/>
      <c r="E30" s="43"/>
      <c r="F30" s="43"/>
      <c r="G30" s="43"/>
      <c r="H30" s="43"/>
      <c r="I30" s="43"/>
      <c r="J30" s="177" t="s">
        <v>237</v>
      </c>
      <c r="K30" s="177"/>
      <c r="L30" s="389">
        <v>32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30" ht="13.5" customHeight="1" x14ac:dyDescent="0.15">
      <c r="C31" s="383" t="s">
        <v>37</v>
      </c>
      <c r="D31" s="43"/>
      <c r="E31" s="43"/>
      <c r="F31" s="43"/>
      <c r="G31" s="43"/>
      <c r="H31" s="43"/>
      <c r="I31" s="43"/>
      <c r="J31" s="177" t="s">
        <v>238</v>
      </c>
      <c r="K31" s="177"/>
      <c r="L31" s="390">
        <f>70-L30</f>
        <v>38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30" ht="13.5" customHeight="1" x14ac:dyDescent="0.15">
      <c r="K32" s="177"/>
      <c r="L32" s="388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1:48" ht="13.5" customHeight="1" x14ac:dyDescent="0.15">
      <c r="B33" s="174" t="s">
        <v>637</v>
      </c>
      <c r="C33" s="43" t="s">
        <v>554</v>
      </c>
      <c r="K33" s="177"/>
      <c r="L33" s="388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</row>
    <row r="34" spans="1:48" ht="13.5" customHeight="1" x14ac:dyDescent="0.15">
      <c r="C34" s="43" t="s">
        <v>554</v>
      </c>
      <c r="D34" s="43"/>
      <c r="E34" s="43"/>
      <c r="F34" s="43"/>
      <c r="G34" s="43"/>
      <c r="H34" s="43"/>
      <c r="I34" s="43"/>
      <c r="J34" s="177" t="s">
        <v>556</v>
      </c>
      <c r="K34" s="177"/>
      <c r="L34" s="391">
        <v>21.4</v>
      </c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spans="1:48" ht="13.5" customHeight="1" x14ac:dyDescent="0.15">
      <c r="C35" s="43"/>
      <c r="D35" s="43"/>
      <c r="E35" s="43"/>
      <c r="F35" s="43"/>
      <c r="G35" s="43"/>
      <c r="H35" s="43"/>
      <c r="I35" s="43"/>
      <c r="K35" s="177"/>
      <c r="L35" s="38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</row>
    <row r="36" spans="1:48" ht="13.5" customHeight="1" x14ac:dyDescent="0.15">
      <c r="B36" s="174" t="s">
        <v>638</v>
      </c>
      <c r="C36" s="36" t="s">
        <v>232</v>
      </c>
      <c r="J36" s="177" t="s">
        <v>237</v>
      </c>
      <c r="K36" s="177"/>
      <c r="L36" s="391">
        <f>IF(L13="遠心脱水",75,IF(L13="BP",78,78))</f>
        <v>78</v>
      </c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</row>
    <row r="37" spans="1:48" ht="13.5" customHeight="1" x14ac:dyDescent="0.15">
      <c r="B37" s="174"/>
      <c r="C37" s="369"/>
      <c r="J37" s="177" t="s">
        <v>237</v>
      </c>
      <c r="K37" s="177"/>
      <c r="L37" s="391">
        <f>IF(L13="遠心脱水",81,IF(L13="BP",82,82))</f>
        <v>82</v>
      </c>
      <c r="N37" s="369"/>
      <c r="O37" s="36" t="s">
        <v>332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spans="1:48" ht="13.5" customHeight="1" x14ac:dyDescent="0.15">
      <c r="C38" s="369"/>
      <c r="J38" s="177" t="s">
        <v>237</v>
      </c>
      <c r="K38" s="177"/>
      <c r="L38" s="391">
        <f>IF(L13="遠心脱水",79,IF(L13="BP",80,78))</f>
        <v>80</v>
      </c>
      <c r="N38" s="369"/>
      <c r="O38" s="36" t="s">
        <v>473</v>
      </c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</row>
    <row r="39" spans="1:48" ht="13.5" customHeight="1" x14ac:dyDescent="0.15">
      <c r="K39" s="177"/>
      <c r="L39" s="377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</row>
    <row r="40" spans="1:48" ht="13.5" customHeight="1" x14ac:dyDescent="0.15">
      <c r="B40" s="174" t="s">
        <v>639</v>
      </c>
      <c r="C40" s="36" t="s">
        <v>250</v>
      </c>
      <c r="J40" s="177" t="s">
        <v>237</v>
      </c>
      <c r="K40" s="177"/>
      <c r="L40" s="391">
        <f>IF(L13="遠心脱水",95,IF(L13="BP",93,93))</f>
        <v>93</v>
      </c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</row>
    <row r="41" spans="1:48" ht="13.5" customHeight="1" x14ac:dyDescent="0.15"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U41" s="36"/>
      <c r="V41" s="36"/>
      <c r="W41" s="36"/>
      <c r="X41" s="36"/>
      <c r="Y41" s="36"/>
      <c r="Z41" s="36"/>
      <c r="AA41" s="36"/>
      <c r="AB41" s="36"/>
      <c r="AC41" s="36"/>
    </row>
    <row r="42" spans="1:48" ht="13.5" customHeight="1" x14ac:dyDescent="0.15">
      <c r="B42" s="174" t="s">
        <v>640</v>
      </c>
      <c r="C42" s="36" t="s">
        <v>176</v>
      </c>
      <c r="I42" s="393"/>
      <c r="J42" s="177" t="s">
        <v>241</v>
      </c>
      <c r="K42" s="394"/>
      <c r="L42" s="395">
        <f>プログラムシート!BP35</f>
        <v>0.43</v>
      </c>
      <c r="N42" s="43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spans="1:48" ht="13.5" customHeight="1" x14ac:dyDescent="0.15">
      <c r="C43" s="36" t="s">
        <v>228</v>
      </c>
      <c r="I43" s="393"/>
      <c r="K43" s="384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:48" ht="13.5" customHeight="1" x14ac:dyDescent="0.15">
      <c r="C44" s="36" t="s">
        <v>176</v>
      </c>
      <c r="I44" s="393"/>
      <c r="J44" s="177" t="s">
        <v>241</v>
      </c>
      <c r="K44" s="385"/>
      <c r="L44" s="395">
        <f>プログラムシート!BP37</f>
        <v>0.54764705882352938</v>
      </c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1:48" ht="13.5" customHeight="1" x14ac:dyDescent="0.15">
      <c r="C45" s="36" t="s">
        <v>178</v>
      </c>
      <c r="I45" s="177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40"/>
      <c r="AE45" s="40"/>
      <c r="AF45" s="40"/>
      <c r="AG45" s="40"/>
      <c r="AH45" s="40"/>
      <c r="AI45" s="40"/>
      <c r="AJ45" s="40"/>
      <c r="AK45" s="100"/>
      <c r="AL45" s="100"/>
      <c r="AM45" s="40"/>
      <c r="AN45" s="40"/>
      <c r="AO45" s="40"/>
      <c r="AP45" s="40"/>
      <c r="AQ45" s="40"/>
      <c r="AR45" s="40"/>
      <c r="AS45" s="40"/>
      <c r="AT45" s="40"/>
      <c r="AU45" s="40"/>
      <c r="AV45" s="40"/>
    </row>
    <row r="46" spans="1:48" ht="13.5" customHeight="1" x14ac:dyDescent="0.15">
      <c r="K46" s="177"/>
      <c r="L46" s="384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40"/>
      <c r="AE46" s="40"/>
      <c r="AF46" s="40"/>
      <c r="AG46" s="40"/>
      <c r="AH46" s="40"/>
      <c r="AI46" s="40"/>
      <c r="AJ46" s="40"/>
      <c r="AK46" s="100"/>
      <c r="AL46" s="100"/>
      <c r="AM46" s="40"/>
      <c r="AN46" s="40"/>
      <c r="AO46" s="40"/>
      <c r="AP46" s="40"/>
      <c r="AQ46" s="40"/>
      <c r="AR46" s="40"/>
      <c r="AS46" s="40"/>
      <c r="AT46" s="40"/>
      <c r="AU46" s="40"/>
      <c r="AV46" s="40"/>
    </row>
    <row r="47" spans="1:48" ht="13.5" customHeight="1" x14ac:dyDescent="0.15">
      <c r="A47" s="397" t="s">
        <v>631</v>
      </c>
      <c r="B47" s="398" t="s">
        <v>632</v>
      </c>
      <c r="C47" s="398"/>
      <c r="D47" s="398"/>
      <c r="E47" s="398"/>
      <c r="F47" s="398"/>
      <c r="G47" s="398"/>
      <c r="H47" s="398"/>
      <c r="I47" s="398"/>
      <c r="J47" s="399"/>
      <c r="K47" s="399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6"/>
      <c r="X47" s="36"/>
      <c r="Y47" s="36"/>
      <c r="Z47" s="36"/>
      <c r="AA47" s="36"/>
      <c r="AB47" s="36"/>
      <c r="AC47" s="36"/>
    </row>
    <row r="48" spans="1:48" ht="13.5" customHeight="1" x14ac:dyDescent="0.15">
      <c r="A48" s="398"/>
      <c r="B48" s="398"/>
      <c r="C48" s="400" t="s">
        <v>633</v>
      </c>
      <c r="D48" s="398"/>
      <c r="E48" s="398"/>
      <c r="F48" s="398"/>
      <c r="G48" s="398"/>
      <c r="H48" s="398"/>
      <c r="I48" s="398"/>
      <c r="J48" s="399"/>
      <c r="K48" s="399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6"/>
      <c r="X48" s="36"/>
      <c r="Y48" s="36"/>
      <c r="Z48" s="36"/>
      <c r="AA48" s="36"/>
      <c r="AB48" s="36"/>
      <c r="AC48" s="36"/>
    </row>
    <row r="49" spans="1:29" ht="13.5" customHeight="1" x14ac:dyDescent="0.15">
      <c r="A49" s="398"/>
      <c r="B49" s="397"/>
      <c r="C49" s="398" t="s">
        <v>634</v>
      </c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400"/>
      <c r="V49" s="400"/>
      <c r="W49" s="36"/>
      <c r="X49" s="36"/>
      <c r="Y49" s="36"/>
      <c r="Z49" s="36"/>
      <c r="AA49" s="36"/>
      <c r="AB49" s="36"/>
      <c r="AC49" s="36"/>
    </row>
    <row r="50" spans="1:29" ht="13.5" customHeight="1" x14ac:dyDescent="0.15">
      <c r="A50" s="398"/>
      <c r="B50" s="398"/>
      <c r="C50" s="400"/>
      <c r="D50" s="400"/>
      <c r="E50" s="400"/>
      <c r="F50" s="400"/>
      <c r="G50" s="400"/>
      <c r="H50" s="400"/>
      <c r="I50" s="400"/>
      <c r="J50" s="400"/>
      <c r="K50" s="400"/>
      <c r="L50" s="400"/>
      <c r="M50" s="400"/>
      <c r="N50" s="400"/>
      <c r="O50" s="400"/>
      <c r="P50" s="400"/>
      <c r="Q50" s="400"/>
      <c r="R50" s="400"/>
      <c r="S50" s="400"/>
      <c r="T50" s="400"/>
      <c r="U50" s="400"/>
      <c r="V50" s="400"/>
      <c r="W50" s="36"/>
      <c r="X50" s="36"/>
      <c r="Y50" s="36"/>
      <c r="Z50" s="36"/>
      <c r="AA50" s="36"/>
      <c r="AB50" s="36"/>
    </row>
    <row r="51" spans="1:29" ht="13.5" customHeight="1" x14ac:dyDescent="0.15">
      <c r="A51" s="398"/>
      <c r="B51" s="398"/>
      <c r="C51" s="398" t="s">
        <v>223</v>
      </c>
      <c r="D51" s="398"/>
      <c r="E51" s="398"/>
      <c r="F51" s="398"/>
      <c r="G51" s="398"/>
      <c r="H51" s="398"/>
      <c r="I51" s="398"/>
      <c r="J51" s="399" t="s">
        <v>237</v>
      </c>
      <c r="K51" s="400"/>
      <c r="L51" s="401">
        <v>62.9</v>
      </c>
      <c r="M51" s="400" t="s">
        <v>641</v>
      </c>
      <c r="O51" s="398" t="s">
        <v>233</v>
      </c>
      <c r="P51" s="398"/>
      <c r="Q51" s="400"/>
      <c r="R51" s="400"/>
      <c r="S51" s="398"/>
      <c r="T51" s="398"/>
      <c r="U51" s="398"/>
      <c r="V51" s="398"/>
      <c r="W51" s="36"/>
      <c r="X51" s="36"/>
      <c r="Y51" s="36"/>
      <c r="Z51" s="36"/>
      <c r="AA51" s="36"/>
      <c r="AB51" s="36"/>
    </row>
    <row r="52" spans="1:29" ht="13.5" customHeight="1" x14ac:dyDescent="0.15">
      <c r="A52" s="398"/>
      <c r="B52" s="398"/>
      <c r="C52" s="398" t="s">
        <v>224</v>
      </c>
      <c r="D52" s="398"/>
      <c r="E52" s="398"/>
      <c r="F52" s="398"/>
      <c r="G52" s="398"/>
      <c r="H52" s="398"/>
      <c r="I52" s="398"/>
      <c r="J52" s="399" t="s">
        <v>237</v>
      </c>
      <c r="K52" s="400"/>
      <c r="L52" s="396">
        <f>プログラムシート!AD49</f>
        <v>62.88861787044042</v>
      </c>
      <c r="M52" s="400" t="s">
        <v>642</v>
      </c>
      <c r="O52" s="398" t="s">
        <v>234</v>
      </c>
      <c r="P52" s="398"/>
      <c r="Q52" s="400"/>
      <c r="R52" s="400"/>
      <c r="S52" s="398"/>
      <c r="T52" s="398"/>
      <c r="U52" s="398"/>
      <c r="V52" s="398"/>
    </row>
    <row r="53" spans="1:29" ht="13.5" customHeight="1" x14ac:dyDescent="0.15">
      <c r="J53" s="36"/>
      <c r="R53" s="36"/>
      <c r="S53" s="36"/>
      <c r="T53" s="36"/>
      <c r="U53" s="36"/>
      <c r="V53" s="36"/>
      <c r="W53" s="36"/>
      <c r="X53" s="36"/>
      <c r="Y53" s="36"/>
    </row>
  </sheetData>
  <sheetProtection algorithmName="SHA-512" hashValue="6mcDRqUdmoY+GxPFGK2QUjVF+xhSb8NFhp2OdbJIxLrTTC7VDm4Lwi5rca3YIeYHAcrTUVIwOZIrGtNIiNb9qw==" saltValue="BJMVY2GHkcjuP9k/VkggYg==" spinCount="100000" sheet="1" objects="1" scenarios="1" selectLockedCells="1"/>
  <phoneticPr fontId="2"/>
  <dataValidations count="3">
    <dataValidation type="list" allowBlank="1" showInputMessage="1" showErrorMessage="1" sqref="L9">
      <formula1>"あり,なし"</formula1>
    </dataValidation>
    <dataValidation type="list" allowBlank="1" showInputMessage="1" showErrorMessage="1" sqref="L13">
      <formula1>"遠心脱水,BP,SP"</formula1>
    </dataValidation>
    <dataValidation type="list" allowBlank="1" showInputMessage="1" showErrorMessage="1" sqref="L15">
      <formula1>"焼却(800℃),コンポスト"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64"/>
  <sheetViews>
    <sheetView view="pageBreakPreview" zoomScale="85" zoomScaleNormal="85" zoomScaleSheetLayoutView="85" workbookViewId="0">
      <selection activeCell="E3" sqref="E3"/>
    </sheetView>
  </sheetViews>
  <sheetFormatPr defaultRowHeight="13.5" x14ac:dyDescent="0.15"/>
  <cols>
    <col min="1" max="1" width="1.625" style="232" customWidth="1"/>
    <col min="2" max="2" width="13.875" style="232" customWidth="1"/>
    <col min="3" max="4" width="20.625" style="232" customWidth="1"/>
    <col min="5" max="5" width="18.125" style="232" customWidth="1"/>
    <col min="6" max="6" width="18" style="232" customWidth="1"/>
    <col min="7" max="7" width="20.625" style="232" customWidth="1"/>
    <col min="8" max="8" width="15.625" style="232" customWidth="1"/>
    <col min="9" max="9" width="16.625" style="232" customWidth="1"/>
    <col min="10" max="11" width="14.125" style="232" customWidth="1"/>
    <col min="12" max="12" width="16.625" style="232" customWidth="1"/>
    <col min="13" max="13" width="22.625" style="234" customWidth="1"/>
    <col min="14" max="15" width="23.125" style="232" customWidth="1"/>
    <col min="16" max="16" width="3.625" style="232" customWidth="1"/>
    <col min="17" max="16384" width="9" style="232"/>
  </cols>
  <sheetData>
    <row r="1" spans="2:25" ht="24" x14ac:dyDescent="0.15">
      <c r="B1" s="231" t="s">
        <v>251</v>
      </c>
      <c r="D1" s="233"/>
      <c r="E1" s="233"/>
    </row>
    <row r="2" spans="2:25" x14ac:dyDescent="0.15">
      <c r="D2" s="233"/>
      <c r="E2" s="233"/>
      <c r="F2" s="233"/>
      <c r="K2" s="233"/>
      <c r="L2" s="237"/>
      <c r="M2" s="238" t="s">
        <v>450</v>
      </c>
      <c r="N2" s="239" t="s">
        <v>275</v>
      </c>
    </row>
    <row r="3" spans="2:25" x14ac:dyDescent="0.15">
      <c r="B3" s="224" t="s">
        <v>280</v>
      </c>
      <c r="C3" s="235"/>
      <c r="D3" s="236" t="s">
        <v>281</v>
      </c>
      <c r="E3" s="406">
        <v>39</v>
      </c>
      <c r="G3" s="313" t="s">
        <v>288</v>
      </c>
      <c r="H3" s="222"/>
      <c r="I3" s="405">
        <v>55</v>
      </c>
      <c r="K3" s="241"/>
      <c r="L3" s="243" t="s">
        <v>265</v>
      </c>
      <c r="M3" s="283">
        <v>45</v>
      </c>
      <c r="N3" s="244">
        <f>($M$7%*(1+$M$7%)^M3)/(((1+$M$7%)^M3)-1)</f>
        <v>3.590469408580288E-2</v>
      </c>
    </row>
    <row r="4" spans="2:25" ht="15" customHeight="1" x14ac:dyDescent="0.15">
      <c r="B4" s="242" t="s">
        <v>295</v>
      </c>
      <c r="C4" s="235"/>
      <c r="D4" s="236" t="s">
        <v>282</v>
      </c>
      <c r="E4" s="407">
        <v>27000</v>
      </c>
      <c r="G4" s="313" t="s">
        <v>289</v>
      </c>
      <c r="H4" s="222"/>
      <c r="I4" s="405">
        <v>0</v>
      </c>
      <c r="L4" s="238" t="s">
        <v>441</v>
      </c>
      <c r="M4" s="283">
        <v>15</v>
      </c>
      <c r="N4" s="244">
        <f>($M$7%*(1+$M$7%)^M4)/(((1+$M$7%)^M4)-1)</f>
        <v>7.9582923824779078E-2</v>
      </c>
      <c r="Q4" s="191"/>
    </row>
    <row r="5" spans="2:25" ht="15" customHeight="1" x14ac:dyDescent="0.15">
      <c r="B5" s="242" t="s">
        <v>284</v>
      </c>
      <c r="C5" s="235"/>
      <c r="D5" s="236" t="s">
        <v>283</v>
      </c>
      <c r="E5" s="407">
        <v>23000</v>
      </c>
      <c r="G5" s="313" t="s">
        <v>290</v>
      </c>
      <c r="H5" s="222"/>
      <c r="I5" s="405">
        <v>0</v>
      </c>
      <c r="L5" s="293"/>
      <c r="M5" s="293"/>
      <c r="N5" s="293"/>
    </row>
    <row r="6" spans="2:25" ht="15" customHeight="1" x14ac:dyDescent="0.15">
      <c r="B6" s="242" t="s">
        <v>442</v>
      </c>
      <c r="C6" s="235"/>
      <c r="D6" s="236" t="s">
        <v>281</v>
      </c>
      <c r="E6" s="407">
        <v>7000</v>
      </c>
      <c r="L6" s="245" t="s">
        <v>494</v>
      </c>
      <c r="M6" s="233"/>
      <c r="P6" s="228"/>
      <c r="Y6" s="293"/>
    </row>
    <row r="7" spans="2:25" ht="15" customHeight="1" x14ac:dyDescent="0.15">
      <c r="B7" s="242" t="s">
        <v>443</v>
      </c>
      <c r="C7" s="235"/>
      <c r="D7" s="236" t="s">
        <v>281</v>
      </c>
      <c r="E7" s="407">
        <v>7000</v>
      </c>
      <c r="G7" s="240" t="s">
        <v>279</v>
      </c>
      <c r="H7" s="222"/>
      <c r="I7" s="360">
        <v>1.25</v>
      </c>
      <c r="L7" s="236" t="s">
        <v>278</v>
      </c>
      <c r="M7" s="358">
        <v>2.2999999999999998</v>
      </c>
      <c r="O7" s="194"/>
      <c r="P7" s="228"/>
    </row>
    <row r="8" spans="2:25" ht="14.25" customHeight="1" x14ac:dyDescent="0.15">
      <c r="E8" s="233"/>
      <c r="L8" s="293"/>
      <c r="M8" s="293"/>
      <c r="N8" s="293"/>
      <c r="O8" s="192"/>
    </row>
    <row r="9" spans="2:25" x14ac:dyDescent="0.15">
      <c r="G9" s="312" t="s">
        <v>322</v>
      </c>
      <c r="H9" s="235"/>
      <c r="I9" s="359">
        <v>109.4</v>
      </c>
      <c r="L9" s="313" t="s">
        <v>294</v>
      </c>
      <c r="M9" s="358">
        <v>93</v>
      </c>
    </row>
    <row r="10" spans="2:25" ht="24" x14ac:dyDescent="0.15">
      <c r="B10" s="231" t="s">
        <v>252</v>
      </c>
    </row>
    <row r="11" spans="2:25" x14ac:dyDescent="0.15">
      <c r="B11" s="219" t="s">
        <v>253</v>
      </c>
      <c r="C11" s="219" t="s">
        <v>254</v>
      </c>
      <c r="D11" s="246" t="s">
        <v>255</v>
      </c>
      <c r="E11" s="193"/>
      <c r="F11" s="219" t="s">
        <v>256</v>
      </c>
      <c r="G11" s="421" t="s">
        <v>257</v>
      </c>
      <c r="H11" s="422"/>
      <c r="I11" s="414" t="s">
        <v>287</v>
      </c>
      <c r="J11" s="431"/>
      <c r="K11" s="431"/>
      <c r="L11" s="415"/>
      <c r="M11" s="249" t="s">
        <v>336</v>
      </c>
      <c r="N11" s="246" t="s">
        <v>258</v>
      </c>
      <c r="O11" s="250"/>
    </row>
    <row r="12" spans="2:25" x14ac:dyDescent="0.15">
      <c r="B12" s="220"/>
      <c r="C12" s="220"/>
      <c r="D12" s="251"/>
      <c r="E12" s="252"/>
      <c r="F12" s="220"/>
      <c r="G12" s="251"/>
      <c r="H12" s="252"/>
      <c r="I12" s="252" t="s">
        <v>323</v>
      </c>
      <c r="J12" s="252" t="s">
        <v>285</v>
      </c>
      <c r="K12" s="252" t="s">
        <v>321</v>
      </c>
      <c r="L12" s="252" t="s">
        <v>256</v>
      </c>
      <c r="M12" s="253"/>
      <c r="N12" s="251"/>
      <c r="O12" s="254"/>
    </row>
    <row r="13" spans="2:25" ht="19.5" customHeight="1" x14ac:dyDescent="0.15">
      <c r="B13" s="426" t="s">
        <v>449</v>
      </c>
      <c r="C13" s="416" t="s">
        <v>277</v>
      </c>
      <c r="D13" s="255" t="s">
        <v>296</v>
      </c>
      <c r="E13" s="256"/>
      <c r="F13" s="236" t="s">
        <v>337</v>
      </c>
      <c r="G13" s="414" t="s">
        <v>495</v>
      </c>
      <c r="H13" s="415"/>
      <c r="I13" s="443">
        <f>'入力シート（実証技術）'!L21*100*$I$7</f>
        <v>637.49999999999989</v>
      </c>
      <c r="J13" s="416" t="s">
        <v>314</v>
      </c>
      <c r="K13" s="416" t="s">
        <v>314</v>
      </c>
      <c r="L13" s="416" t="s">
        <v>496</v>
      </c>
      <c r="M13" s="257">
        <f>ROUND(16.9*(I13^0.539)*$I$9%*1000,-2)</f>
        <v>600500</v>
      </c>
      <c r="N13" s="410" t="s">
        <v>497</v>
      </c>
      <c r="O13" s="411"/>
    </row>
    <row r="14" spans="2:25" ht="19.5" customHeight="1" x14ac:dyDescent="0.15">
      <c r="B14" s="428"/>
      <c r="C14" s="417"/>
      <c r="D14" s="258" t="s">
        <v>260</v>
      </c>
      <c r="E14" s="259"/>
      <c r="F14" s="236" t="s">
        <v>337</v>
      </c>
      <c r="G14" s="414" t="s">
        <v>498</v>
      </c>
      <c r="H14" s="415"/>
      <c r="I14" s="444"/>
      <c r="J14" s="417"/>
      <c r="K14" s="417"/>
      <c r="L14" s="417"/>
      <c r="M14" s="257">
        <f>ROUND((51.6*(I13^0.385))*$I$9%*1000,-2)</f>
        <v>678300</v>
      </c>
      <c r="N14" s="410" t="s">
        <v>497</v>
      </c>
      <c r="O14" s="411"/>
    </row>
    <row r="15" spans="2:25" ht="19.5" customHeight="1" x14ac:dyDescent="0.15">
      <c r="B15" s="428"/>
      <c r="C15" s="417"/>
      <c r="D15" s="258" t="s">
        <v>261</v>
      </c>
      <c r="E15" s="259"/>
      <c r="F15" s="236" t="s">
        <v>337</v>
      </c>
      <c r="G15" s="414" t="s">
        <v>499</v>
      </c>
      <c r="H15" s="415"/>
      <c r="I15" s="445"/>
      <c r="J15" s="418"/>
      <c r="K15" s="418"/>
      <c r="L15" s="418"/>
      <c r="M15" s="257">
        <f>ROUND(0.2*(17.8*(I13^0.464))*$I$9%*1000,-2)</f>
        <v>77900</v>
      </c>
      <c r="N15" s="410" t="s">
        <v>497</v>
      </c>
      <c r="O15" s="411"/>
    </row>
    <row r="16" spans="2:25" ht="19.5" customHeight="1" x14ac:dyDescent="0.15">
      <c r="B16" s="428"/>
      <c r="C16" s="417"/>
      <c r="D16" s="221" t="s">
        <v>262</v>
      </c>
      <c r="E16" s="222"/>
      <c r="F16" s="236" t="s">
        <v>337</v>
      </c>
      <c r="G16" s="414" t="s">
        <v>302</v>
      </c>
      <c r="H16" s="415"/>
      <c r="I16" s="222" t="s">
        <v>314</v>
      </c>
      <c r="J16" s="222" t="s">
        <v>314</v>
      </c>
      <c r="K16" s="222" t="s">
        <v>314</v>
      </c>
      <c r="L16" s="222" t="s">
        <v>314</v>
      </c>
      <c r="M16" s="257">
        <f>SUM(M13:M15)</f>
        <v>1356700</v>
      </c>
      <c r="N16" s="237"/>
      <c r="O16" s="259"/>
    </row>
    <row r="17" spans="2:15" ht="33.75" customHeight="1" x14ac:dyDescent="0.15">
      <c r="B17" s="428"/>
      <c r="C17" s="417"/>
      <c r="D17" s="260" t="s">
        <v>263</v>
      </c>
      <c r="E17" s="193"/>
      <c r="F17" s="219" t="s">
        <v>307</v>
      </c>
      <c r="G17" s="429" t="s">
        <v>286</v>
      </c>
      <c r="H17" s="430"/>
      <c r="I17" s="222" t="s">
        <v>314</v>
      </c>
      <c r="J17" s="222" t="s">
        <v>314</v>
      </c>
      <c r="K17" s="222" t="s">
        <v>314</v>
      </c>
      <c r="L17" s="222" t="s">
        <v>314</v>
      </c>
      <c r="M17" s="223">
        <f>(M13*$N$3+M14*$N$4+M15*$N$4)*(1-$I$3%)</f>
        <v>36783.619107670158</v>
      </c>
      <c r="N17" s="412" t="s">
        <v>318</v>
      </c>
      <c r="O17" s="413"/>
    </row>
    <row r="18" spans="2:15" ht="35.25" customHeight="1" x14ac:dyDescent="0.15">
      <c r="B18" s="428"/>
      <c r="C18" s="418"/>
      <c r="D18" s="412" t="s">
        <v>264</v>
      </c>
      <c r="E18" s="413"/>
      <c r="F18" s="219" t="s">
        <v>307</v>
      </c>
      <c r="G18" s="414" t="s">
        <v>527</v>
      </c>
      <c r="H18" s="415"/>
      <c r="I18" s="196">
        <f>'入力シート（実証技術）'!L21*100*365</f>
        <v>186149.99999999997</v>
      </c>
      <c r="J18" s="222" t="s">
        <v>314</v>
      </c>
      <c r="K18" s="222" t="s">
        <v>314</v>
      </c>
      <c r="L18" s="193" t="s">
        <v>500</v>
      </c>
      <c r="M18" s="261">
        <f>171*I18^0.39</f>
        <v>19419.708033849285</v>
      </c>
      <c r="N18" s="260" t="s">
        <v>501</v>
      </c>
      <c r="O18" s="262"/>
    </row>
    <row r="19" spans="2:15" ht="19.5" customHeight="1" x14ac:dyDescent="0.15">
      <c r="B19" s="428"/>
      <c r="C19" s="416" t="s">
        <v>303</v>
      </c>
      <c r="D19" s="255" t="s">
        <v>296</v>
      </c>
      <c r="E19" s="259"/>
      <c r="F19" s="236" t="s">
        <v>306</v>
      </c>
      <c r="G19" s="414" t="s">
        <v>310</v>
      </c>
      <c r="H19" s="415"/>
      <c r="I19" s="439">
        <f>'マテリアルバランス (従来技術) (日平均) '!K20</f>
        <v>161.6888888888889</v>
      </c>
      <c r="J19" s="441">
        <f>ROUNDUP(I19/25,0)*25</f>
        <v>175</v>
      </c>
      <c r="K19" s="416" t="s">
        <v>314</v>
      </c>
      <c r="L19" s="416" t="s">
        <v>315</v>
      </c>
      <c r="M19" s="257">
        <f>ROUND((0.0263*J19+5.8284)*1000,-2)</f>
        <v>10400</v>
      </c>
      <c r="N19" s="260" t="s">
        <v>331</v>
      </c>
      <c r="O19" s="262"/>
    </row>
    <row r="20" spans="2:15" ht="19.5" customHeight="1" x14ac:dyDescent="0.15">
      <c r="B20" s="428"/>
      <c r="C20" s="417"/>
      <c r="D20" s="263" t="s">
        <v>297</v>
      </c>
      <c r="E20" s="259"/>
      <c r="F20" s="236" t="s">
        <v>306</v>
      </c>
      <c r="G20" s="414" t="s">
        <v>309</v>
      </c>
      <c r="H20" s="415"/>
      <c r="I20" s="440"/>
      <c r="J20" s="442"/>
      <c r="K20" s="418"/>
      <c r="L20" s="418"/>
      <c r="M20" s="257">
        <f>ROUND(1.3132*J19*1000,-2)</f>
        <v>229800</v>
      </c>
      <c r="N20" s="263" t="s">
        <v>335</v>
      </c>
      <c r="O20" s="264"/>
    </row>
    <row r="21" spans="2:15" ht="19.5" customHeight="1" x14ac:dyDescent="0.15">
      <c r="B21" s="428"/>
      <c r="C21" s="417"/>
      <c r="D21" s="221" t="s">
        <v>262</v>
      </c>
      <c r="E21" s="222"/>
      <c r="F21" s="236" t="s">
        <v>306</v>
      </c>
      <c r="G21" s="414" t="s">
        <v>302</v>
      </c>
      <c r="H21" s="415"/>
      <c r="I21" s="222" t="s">
        <v>314</v>
      </c>
      <c r="J21" s="222" t="s">
        <v>314</v>
      </c>
      <c r="K21" s="222" t="s">
        <v>314</v>
      </c>
      <c r="L21" s="222" t="s">
        <v>314</v>
      </c>
      <c r="M21" s="257">
        <f>SUM(M19:M20)</f>
        <v>240200</v>
      </c>
      <c r="N21" s="237"/>
      <c r="O21" s="265"/>
    </row>
    <row r="22" spans="2:15" ht="30" customHeight="1" x14ac:dyDescent="0.15">
      <c r="B22" s="428"/>
      <c r="C22" s="417"/>
      <c r="D22" s="260" t="s">
        <v>263</v>
      </c>
      <c r="E22" s="193"/>
      <c r="F22" s="219" t="s">
        <v>307</v>
      </c>
      <c r="G22" s="429" t="s">
        <v>286</v>
      </c>
      <c r="H22" s="430"/>
      <c r="I22" s="222" t="s">
        <v>314</v>
      </c>
      <c r="J22" s="222" t="s">
        <v>314</v>
      </c>
      <c r="K22" s="222" t="s">
        <v>314</v>
      </c>
      <c r="L22" s="222" t="s">
        <v>314</v>
      </c>
      <c r="M22" s="223">
        <f>(M19*$N$3+M20*$N$4)*(1-$I$5%)</f>
        <v>18661.564713426582</v>
      </c>
      <c r="N22" s="412" t="s">
        <v>456</v>
      </c>
      <c r="O22" s="413"/>
    </row>
    <row r="23" spans="2:15" ht="30" customHeight="1" x14ac:dyDescent="0.15">
      <c r="B23" s="428"/>
      <c r="C23" s="418"/>
      <c r="D23" s="412" t="s">
        <v>264</v>
      </c>
      <c r="E23" s="413"/>
      <c r="F23" s="219" t="s">
        <v>307</v>
      </c>
      <c r="G23" s="414" t="s">
        <v>308</v>
      </c>
      <c r="H23" s="415"/>
      <c r="I23" s="217">
        <f>I19</f>
        <v>161.6888888888889</v>
      </c>
      <c r="J23" s="193">
        <f>J19</f>
        <v>175</v>
      </c>
      <c r="K23" s="222" t="s">
        <v>314</v>
      </c>
      <c r="L23" s="222" t="s">
        <v>315</v>
      </c>
      <c r="M23" s="261">
        <f>57.9*J23</f>
        <v>10132.5</v>
      </c>
      <c r="N23" s="260" t="s">
        <v>457</v>
      </c>
      <c r="O23" s="262"/>
    </row>
    <row r="24" spans="2:15" ht="19.5" customHeight="1" x14ac:dyDescent="0.15">
      <c r="B24" s="428"/>
      <c r="C24" s="266" t="s">
        <v>299</v>
      </c>
      <c r="D24" s="258" t="s">
        <v>300</v>
      </c>
      <c r="E24" s="256"/>
      <c r="F24" s="219" t="s">
        <v>307</v>
      </c>
      <c r="G24" s="414" t="s">
        <v>301</v>
      </c>
      <c r="H24" s="415"/>
      <c r="I24" s="218">
        <f>ROUND(I23*24*365*$M$9%,-2)</f>
        <v>1317200</v>
      </c>
      <c r="J24" s="222" t="s">
        <v>314</v>
      </c>
      <c r="K24" s="222" t="s">
        <v>314</v>
      </c>
      <c r="L24" s="222" t="s">
        <v>313</v>
      </c>
      <c r="M24" s="257">
        <f>-I24*$E$3/1000</f>
        <v>-51370.8</v>
      </c>
      <c r="N24" s="258" t="s">
        <v>316</v>
      </c>
      <c r="O24" s="265"/>
    </row>
    <row r="25" spans="2:15" ht="19.5" customHeight="1" x14ac:dyDescent="0.15">
      <c r="B25" s="428"/>
      <c r="C25" s="416" t="s">
        <v>298</v>
      </c>
      <c r="D25" s="258" t="s">
        <v>291</v>
      </c>
      <c r="E25" s="256"/>
      <c r="F25" s="219" t="s">
        <v>307</v>
      </c>
      <c r="G25" s="414" t="s">
        <v>293</v>
      </c>
      <c r="H25" s="415"/>
      <c r="I25" s="222">
        <f>ROUND(ROUND('入力シート（実証技術）'!R21/'入力シート（実証技術）'!R22*100,2)*365,0)</f>
        <v>730</v>
      </c>
      <c r="J25" s="222" t="s">
        <v>314</v>
      </c>
      <c r="K25" s="222" t="s">
        <v>314</v>
      </c>
      <c r="L25" s="222" t="s">
        <v>312</v>
      </c>
      <c r="M25" s="257">
        <f>I25*$E$4/1000</f>
        <v>19710</v>
      </c>
      <c r="N25" s="258" t="s">
        <v>273</v>
      </c>
      <c r="O25" s="265"/>
    </row>
    <row r="26" spans="2:15" ht="19.5" customHeight="1" x14ac:dyDescent="0.15">
      <c r="B26" s="428"/>
      <c r="C26" s="417"/>
      <c r="D26" s="258" t="s">
        <v>311</v>
      </c>
      <c r="E26" s="256"/>
      <c r="F26" s="219" t="s">
        <v>307</v>
      </c>
      <c r="G26" s="414" t="s">
        <v>293</v>
      </c>
      <c r="H26" s="415"/>
      <c r="I26" s="218">
        <f>ROUND(ROUND('入力シート（実証技術）'!O21/'入力シート（実証技術）'!O22:O22*100,2)*365,0)</f>
        <v>1460</v>
      </c>
      <c r="J26" s="222" t="s">
        <v>314</v>
      </c>
      <c r="K26" s="222" t="s">
        <v>314</v>
      </c>
      <c r="L26" s="222" t="s">
        <v>312</v>
      </c>
      <c r="M26" s="257">
        <f>I26*$E$5/1000</f>
        <v>33580</v>
      </c>
      <c r="N26" s="258" t="s">
        <v>317</v>
      </c>
      <c r="O26" s="265"/>
    </row>
    <row r="27" spans="2:15" ht="19.5" customHeight="1" x14ac:dyDescent="0.15">
      <c r="B27" s="428"/>
      <c r="C27" s="418"/>
      <c r="D27" s="267" t="s">
        <v>292</v>
      </c>
      <c r="E27" s="268"/>
      <c r="F27" s="219" t="s">
        <v>307</v>
      </c>
      <c r="G27" s="414" t="s">
        <v>293</v>
      </c>
      <c r="H27" s="415"/>
      <c r="I27" s="218">
        <f>ROUND('マテリアルバランス (従来技術) (日平均) '!J29,0)*365</f>
        <v>6205</v>
      </c>
      <c r="J27" s="222" t="s">
        <v>314</v>
      </c>
      <c r="K27" s="222" t="s">
        <v>314</v>
      </c>
      <c r="L27" s="222" t="s">
        <v>312</v>
      </c>
      <c r="M27" s="257">
        <f>I27*$E$5/1000</f>
        <v>142715</v>
      </c>
      <c r="N27" s="258" t="s">
        <v>274</v>
      </c>
      <c r="O27" s="264"/>
    </row>
    <row r="28" spans="2:15" ht="18.75" customHeight="1" x14ac:dyDescent="0.15">
      <c r="B28" s="427"/>
      <c r="C28" s="238"/>
      <c r="D28" s="364" t="s">
        <v>266</v>
      </c>
      <c r="E28" s="365"/>
      <c r="F28" s="219" t="s">
        <v>307</v>
      </c>
      <c r="G28" s="421" t="s">
        <v>302</v>
      </c>
      <c r="H28" s="422"/>
      <c r="I28" s="222" t="s">
        <v>314</v>
      </c>
      <c r="J28" s="222" t="s">
        <v>314</v>
      </c>
      <c r="K28" s="222" t="s">
        <v>314</v>
      </c>
      <c r="L28" s="222" t="s">
        <v>314</v>
      </c>
      <c r="M28" s="269">
        <f>SUM(M17,M18,M22:M27)</f>
        <v>229631.59185494605</v>
      </c>
      <c r="N28" s="270" t="s">
        <v>458</v>
      </c>
      <c r="O28" s="271"/>
    </row>
    <row r="29" spans="2:15" ht="35.25" customHeight="1" x14ac:dyDescent="0.15">
      <c r="B29" s="416" t="s">
        <v>475</v>
      </c>
      <c r="C29" s="426" t="s">
        <v>550</v>
      </c>
      <c r="D29" s="412" t="s">
        <v>474</v>
      </c>
      <c r="E29" s="413"/>
      <c r="F29" s="219" t="s">
        <v>307</v>
      </c>
      <c r="G29" s="414" t="s">
        <v>530</v>
      </c>
      <c r="H29" s="415"/>
      <c r="I29" s="196">
        <f>'入力シート（実証技術）'!L21*100*365</f>
        <v>186149.99999999997</v>
      </c>
      <c r="J29" s="222" t="s">
        <v>302</v>
      </c>
      <c r="K29" s="222" t="s">
        <v>302</v>
      </c>
      <c r="L29" s="193" t="s">
        <v>500</v>
      </c>
      <c r="M29" s="261">
        <f>ROUND(39*I29^0.596,0)</f>
        <v>53939</v>
      </c>
      <c r="N29" s="273" t="s">
        <v>476</v>
      </c>
      <c r="O29" s="262"/>
    </row>
    <row r="30" spans="2:15" ht="35.25" customHeight="1" x14ac:dyDescent="0.15">
      <c r="B30" s="417"/>
      <c r="C30" s="428"/>
      <c r="D30" s="412" t="s">
        <v>451</v>
      </c>
      <c r="E30" s="413"/>
      <c r="F30" s="219" t="s">
        <v>307</v>
      </c>
      <c r="G30" s="414" t="s">
        <v>530</v>
      </c>
      <c r="H30" s="415"/>
      <c r="I30" s="196">
        <f>ROUND('マテリアルバランス (従来技術) (日平均) '!G30,2)*100*365</f>
        <v>111690</v>
      </c>
      <c r="J30" s="222" t="s">
        <v>302</v>
      </c>
      <c r="K30" s="222" t="s">
        <v>302</v>
      </c>
      <c r="L30" s="193" t="s">
        <v>500</v>
      </c>
      <c r="M30" s="261">
        <f>ROUND(39*I30^0.596,0)</f>
        <v>39781</v>
      </c>
      <c r="N30" s="273" t="s">
        <v>477</v>
      </c>
      <c r="O30" s="262"/>
    </row>
    <row r="31" spans="2:15" ht="35.25" customHeight="1" x14ac:dyDescent="0.15">
      <c r="B31" s="417"/>
      <c r="C31" s="427"/>
      <c r="D31" s="412" t="s">
        <v>452</v>
      </c>
      <c r="E31" s="413"/>
      <c r="F31" s="219"/>
      <c r="G31" s="421" t="s">
        <v>302</v>
      </c>
      <c r="H31" s="422"/>
      <c r="I31" s="222" t="s">
        <v>302</v>
      </c>
      <c r="J31" s="222" t="s">
        <v>302</v>
      </c>
      <c r="K31" s="222" t="s">
        <v>302</v>
      </c>
      <c r="L31" s="222" t="s">
        <v>302</v>
      </c>
      <c r="M31" s="261">
        <f>M29-M30</f>
        <v>14158</v>
      </c>
      <c r="N31" s="412" t="s">
        <v>478</v>
      </c>
      <c r="O31" s="413"/>
    </row>
    <row r="32" spans="2:15" ht="19.5" customHeight="1" x14ac:dyDescent="0.15">
      <c r="B32" s="417"/>
      <c r="C32" s="416" t="s">
        <v>471</v>
      </c>
      <c r="D32" s="258" t="s">
        <v>291</v>
      </c>
      <c r="E32" s="256"/>
      <c r="F32" s="219" t="s">
        <v>307</v>
      </c>
      <c r="G32" s="414" t="s">
        <v>293</v>
      </c>
      <c r="H32" s="415"/>
      <c r="I32" s="218">
        <f>I25</f>
        <v>730</v>
      </c>
      <c r="J32" s="222" t="s">
        <v>302</v>
      </c>
      <c r="K32" s="222" t="s">
        <v>302</v>
      </c>
      <c r="L32" s="222" t="s">
        <v>312</v>
      </c>
      <c r="M32" s="257">
        <f>I32*$E$4/1000</f>
        <v>19710</v>
      </c>
      <c r="N32" s="258" t="s">
        <v>479</v>
      </c>
      <c r="O32" s="265"/>
    </row>
    <row r="33" spans="2:15" ht="19.5" customHeight="1" x14ac:dyDescent="0.15">
      <c r="B33" s="417"/>
      <c r="C33" s="417"/>
      <c r="D33" s="258" t="s">
        <v>311</v>
      </c>
      <c r="E33" s="256"/>
      <c r="F33" s="219" t="s">
        <v>307</v>
      </c>
      <c r="G33" s="414" t="s">
        <v>293</v>
      </c>
      <c r="H33" s="415"/>
      <c r="I33" s="218">
        <f>I26</f>
        <v>1460</v>
      </c>
      <c r="J33" s="222" t="s">
        <v>302</v>
      </c>
      <c r="K33" s="222" t="s">
        <v>302</v>
      </c>
      <c r="L33" s="222" t="s">
        <v>312</v>
      </c>
      <c r="M33" s="257">
        <f>I33*$E$5/1000</f>
        <v>33580</v>
      </c>
      <c r="N33" s="258" t="s">
        <v>480</v>
      </c>
      <c r="O33" s="265"/>
    </row>
    <row r="34" spans="2:15" ht="19.5" customHeight="1" x14ac:dyDescent="0.15">
      <c r="B34" s="417"/>
      <c r="C34" s="418"/>
      <c r="D34" s="267" t="s">
        <v>292</v>
      </c>
      <c r="E34" s="268"/>
      <c r="F34" s="219" t="s">
        <v>307</v>
      </c>
      <c r="G34" s="414" t="s">
        <v>293</v>
      </c>
      <c r="H34" s="415"/>
      <c r="I34" s="218">
        <f>ROUND('マテリアルバランス (消化無) (日平均) '!J12,1)*365</f>
        <v>8650.5</v>
      </c>
      <c r="J34" s="222" t="s">
        <v>302</v>
      </c>
      <c r="K34" s="222" t="s">
        <v>302</v>
      </c>
      <c r="L34" s="222" t="s">
        <v>312</v>
      </c>
      <c r="M34" s="257">
        <f>I34*$E$5/1000</f>
        <v>198961.5</v>
      </c>
      <c r="N34" s="258" t="s">
        <v>481</v>
      </c>
      <c r="O34" s="264"/>
    </row>
    <row r="35" spans="2:15" ht="18.75" customHeight="1" x14ac:dyDescent="0.15">
      <c r="B35" s="418"/>
      <c r="C35" s="238"/>
      <c r="D35" s="364" t="s">
        <v>266</v>
      </c>
      <c r="E35" s="365"/>
      <c r="F35" s="219" t="s">
        <v>307</v>
      </c>
      <c r="G35" s="421" t="s">
        <v>302</v>
      </c>
      <c r="H35" s="422"/>
      <c r="I35" s="222" t="s">
        <v>302</v>
      </c>
      <c r="J35" s="222" t="s">
        <v>302</v>
      </c>
      <c r="K35" s="222" t="s">
        <v>302</v>
      </c>
      <c r="L35" s="222" t="s">
        <v>302</v>
      </c>
      <c r="M35" s="269">
        <f>SUM(M31:M34)</f>
        <v>266409.5</v>
      </c>
      <c r="N35" s="270" t="s">
        <v>482</v>
      </c>
      <c r="O35" s="271"/>
    </row>
    <row r="36" spans="2:15" ht="19.5" customHeight="1" x14ac:dyDescent="0.15">
      <c r="B36" s="416" t="s">
        <v>267</v>
      </c>
      <c r="C36" s="426" t="s">
        <v>320</v>
      </c>
      <c r="D36" s="255" t="s">
        <v>296</v>
      </c>
      <c r="E36" s="259"/>
      <c r="F36" s="236" t="s">
        <v>306</v>
      </c>
      <c r="G36" s="414" t="s">
        <v>502</v>
      </c>
      <c r="H36" s="415"/>
      <c r="I36" s="446">
        <f>ROUND(IF(AND('入力シート（実証技術）'!O21=0,'入力シート（実証技術）'!R21=0),'入力シート（実証技術）'!L21/'入力シート（実証技術）'!L22*100*$I$7*15,'入力シート（実証技術）'!L21/'入力シート（実証技術）'!L22*100*$I$7*20),-2)</f>
        <v>3600</v>
      </c>
      <c r="J36" s="448">
        <f>ROUNDUP(I36/K36,-2)</f>
        <v>3600</v>
      </c>
      <c r="K36" s="441">
        <f>IF(I36&lt;4000,1,2)</f>
        <v>1</v>
      </c>
      <c r="L36" s="416" t="s">
        <v>503</v>
      </c>
      <c r="M36" s="257">
        <f>ROUND(K36*1.454*J36^0.6805*1000,-2)</f>
        <v>382500</v>
      </c>
      <c r="N36" s="260" t="s">
        <v>327</v>
      </c>
      <c r="O36" s="262"/>
    </row>
    <row r="37" spans="2:15" ht="19.5" customHeight="1" x14ac:dyDescent="0.15">
      <c r="B37" s="417"/>
      <c r="C37" s="417"/>
      <c r="D37" s="263" t="s">
        <v>297</v>
      </c>
      <c r="E37" s="259"/>
      <c r="F37" s="236" t="s">
        <v>306</v>
      </c>
      <c r="G37" s="414" t="s">
        <v>319</v>
      </c>
      <c r="H37" s="415"/>
      <c r="I37" s="447"/>
      <c r="J37" s="449"/>
      <c r="K37" s="442"/>
      <c r="L37" s="418"/>
      <c r="M37" s="257">
        <f>ROUND(K36*(0.006*J36+33.333)*1000,-2)</f>
        <v>54900</v>
      </c>
      <c r="N37" s="263" t="s">
        <v>612</v>
      </c>
      <c r="O37" s="264"/>
    </row>
    <row r="38" spans="2:15" ht="19.5" customHeight="1" x14ac:dyDescent="0.15">
      <c r="B38" s="417"/>
      <c r="C38" s="417"/>
      <c r="D38" s="221" t="s">
        <v>262</v>
      </c>
      <c r="E38" s="222"/>
      <c r="F38" s="236" t="s">
        <v>306</v>
      </c>
      <c r="G38" s="421" t="s">
        <v>302</v>
      </c>
      <c r="H38" s="422"/>
      <c r="I38" s="222" t="s">
        <v>314</v>
      </c>
      <c r="J38" s="218" t="s">
        <v>314</v>
      </c>
      <c r="K38" s="222" t="s">
        <v>314</v>
      </c>
      <c r="L38" s="222" t="s">
        <v>314</v>
      </c>
      <c r="M38" s="257">
        <f>+M36+M37</f>
        <v>437400</v>
      </c>
      <c r="N38" s="237"/>
      <c r="O38" s="265"/>
    </row>
    <row r="39" spans="2:15" ht="30" customHeight="1" x14ac:dyDescent="0.15">
      <c r="B39" s="417"/>
      <c r="C39" s="417"/>
      <c r="D39" s="260" t="s">
        <v>263</v>
      </c>
      <c r="E39" s="193"/>
      <c r="F39" s="219" t="s">
        <v>307</v>
      </c>
      <c r="G39" s="429" t="s">
        <v>286</v>
      </c>
      <c r="H39" s="430"/>
      <c r="I39" s="222" t="s">
        <v>314</v>
      </c>
      <c r="J39" s="218" t="s">
        <v>302</v>
      </c>
      <c r="K39" s="222" t="s">
        <v>314</v>
      </c>
      <c r="L39" s="222" t="s">
        <v>314</v>
      </c>
      <c r="M39" s="223">
        <f>(M36*$N$3+M37*$N$4)*(1-$I$3%)</f>
        <v>8146.1916026099871</v>
      </c>
      <c r="N39" s="412" t="s">
        <v>459</v>
      </c>
      <c r="O39" s="413"/>
    </row>
    <row r="40" spans="2:15" ht="30" customHeight="1" x14ac:dyDescent="0.15">
      <c r="B40" s="417"/>
      <c r="C40" s="418"/>
      <c r="D40" s="412" t="s">
        <v>264</v>
      </c>
      <c r="E40" s="413"/>
      <c r="F40" s="219" t="s">
        <v>307</v>
      </c>
      <c r="G40" s="414" t="s">
        <v>326</v>
      </c>
      <c r="H40" s="415"/>
      <c r="I40" s="196">
        <f>I36</f>
        <v>3600</v>
      </c>
      <c r="J40" s="196">
        <f>J36</f>
        <v>3600</v>
      </c>
      <c r="K40" s="193">
        <f>K36</f>
        <v>1</v>
      </c>
      <c r="L40" s="193" t="s">
        <v>503</v>
      </c>
      <c r="M40" s="261">
        <f>134.89*(K40*J40)^0.4095</f>
        <v>3857.3196418053171</v>
      </c>
      <c r="N40" s="237" t="s">
        <v>460</v>
      </c>
      <c r="O40" s="262"/>
    </row>
    <row r="41" spans="2:15" ht="19.5" customHeight="1" x14ac:dyDescent="0.15">
      <c r="B41" s="417"/>
      <c r="C41" s="416" t="s">
        <v>276</v>
      </c>
      <c r="D41" s="255" t="s">
        <v>296</v>
      </c>
      <c r="E41" s="259"/>
      <c r="F41" s="236" t="s">
        <v>306</v>
      </c>
      <c r="G41" s="414" t="s">
        <v>504</v>
      </c>
      <c r="H41" s="415"/>
      <c r="I41" s="446">
        <f>ROUND('マテリアルバランス（実証技術） (日平均)'!G5,0)</f>
        <v>2687</v>
      </c>
      <c r="J41" s="416" t="s">
        <v>324</v>
      </c>
      <c r="K41" s="416" t="s">
        <v>324</v>
      </c>
      <c r="L41" s="416" t="s">
        <v>328</v>
      </c>
      <c r="M41" s="274">
        <f>ROUND(2.2341*I41^0.375*1000,-2)</f>
        <v>43200</v>
      </c>
      <c r="N41" s="237" t="s">
        <v>505</v>
      </c>
      <c r="O41" s="265"/>
    </row>
    <row r="42" spans="2:15" ht="19.5" customHeight="1" x14ac:dyDescent="0.15">
      <c r="B42" s="417"/>
      <c r="C42" s="417"/>
      <c r="D42" s="263" t="s">
        <v>297</v>
      </c>
      <c r="E42" s="259"/>
      <c r="F42" s="236" t="s">
        <v>306</v>
      </c>
      <c r="G42" s="414" t="s">
        <v>506</v>
      </c>
      <c r="H42" s="415"/>
      <c r="I42" s="447"/>
      <c r="J42" s="418"/>
      <c r="K42" s="418"/>
      <c r="L42" s="418"/>
      <c r="M42" s="275">
        <f>ROUND(9.4186*I41^0.4122*1000,-2)</f>
        <v>244100</v>
      </c>
      <c r="N42" s="237" t="s">
        <v>505</v>
      </c>
      <c r="O42" s="265"/>
    </row>
    <row r="43" spans="2:15" ht="19.5" customHeight="1" x14ac:dyDescent="0.15">
      <c r="B43" s="417"/>
      <c r="C43" s="417"/>
      <c r="D43" s="221" t="s">
        <v>262</v>
      </c>
      <c r="E43" s="222"/>
      <c r="F43" s="236" t="s">
        <v>306</v>
      </c>
      <c r="G43" s="421" t="s">
        <v>302</v>
      </c>
      <c r="H43" s="422"/>
      <c r="I43" s="222" t="s">
        <v>314</v>
      </c>
      <c r="J43" s="222" t="s">
        <v>314</v>
      </c>
      <c r="K43" s="222" t="s">
        <v>314</v>
      </c>
      <c r="L43" s="222" t="s">
        <v>314</v>
      </c>
      <c r="M43" s="257">
        <f>+M41+M42</f>
        <v>287300</v>
      </c>
      <c r="N43" s="237"/>
      <c r="O43" s="265"/>
    </row>
    <row r="44" spans="2:15" ht="30" customHeight="1" x14ac:dyDescent="0.15">
      <c r="B44" s="417"/>
      <c r="C44" s="417"/>
      <c r="D44" s="260" t="s">
        <v>263</v>
      </c>
      <c r="E44" s="193"/>
      <c r="F44" s="219" t="s">
        <v>307</v>
      </c>
      <c r="G44" s="429" t="s">
        <v>286</v>
      </c>
      <c r="H44" s="430"/>
      <c r="I44" s="222" t="s">
        <v>314</v>
      </c>
      <c r="J44" s="222" t="s">
        <v>302</v>
      </c>
      <c r="K44" s="222" t="s">
        <v>314</v>
      </c>
      <c r="L44" s="222" t="s">
        <v>314</v>
      </c>
      <c r="M44" s="223">
        <f>(M41*$N$3+M42*$N$4)*(1-$I$3%)</f>
        <v>9439.773520560866</v>
      </c>
      <c r="N44" s="412" t="s">
        <v>461</v>
      </c>
      <c r="O44" s="413"/>
    </row>
    <row r="45" spans="2:15" ht="30" customHeight="1" x14ac:dyDescent="0.15">
      <c r="B45" s="417"/>
      <c r="C45" s="418"/>
      <c r="D45" s="412" t="s">
        <v>264</v>
      </c>
      <c r="E45" s="413"/>
      <c r="F45" s="219" t="s">
        <v>307</v>
      </c>
      <c r="G45" s="414" t="s">
        <v>507</v>
      </c>
      <c r="H45" s="415"/>
      <c r="I45" s="196">
        <f>I41</f>
        <v>2687</v>
      </c>
      <c r="J45" s="222" t="s">
        <v>302</v>
      </c>
      <c r="K45" s="222" t="s">
        <v>314</v>
      </c>
      <c r="L45" s="221" t="s">
        <v>508</v>
      </c>
      <c r="M45" s="257">
        <f>11.209*I45^0.699</f>
        <v>2796.565321967923</v>
      </c>
      <c r="N45" s="237" t="s">
        <v>509</v>
      </c>
      <c r="O45" s="262"/>
    </row>
    <row r="46" spans="2:15" ht="19.5" customHeight="1" x14ac:dyDescent="0.15">
      <c r="B46" s="417"/>
      <c r="C46" s="416" t="s">
        <v>304</v>
      </c>
      <c r="D46" s="255" t="s">
        <v>296</v>
      </c>
      <c r="E46" s="259"/>
      <c r="F46" s="236" t="s">
        <v>306</v>
      </c>
      <c r="G46" s="414" t="s">
        <v>330</v>
      </c>
      <c r="H46" s="415"/>
      <c r="I46" s="416">
        <f>'入力シート（実証技術）'!L21*100*$I$7</f>
        <v>637.49999999999989</v>
      </c>
      <c r="J46" s="416" t="s">
        <v>324</v>
      </c>
      <c r="K46" s="222" t="s">
        <v>314</v>
      </c>
      <c r="L46" s="416" t="s">
        <v>500</v>
      </c>
      <c r="M46" s="276">
        <f>ROUND((0.0452*I46+46.4)*1000,-2)</f>
        <v>75200</v>
      </c>
      <c r="N46" s="450" t="s">
        <v>497</v>
      </c>
      <c r="O46" s="451"/>
    </row>
    <row r="47" spans="2:15" ht="19.5" customHeight="1" x14ac:dyDescent="0.15">
      <c r="B47" s="417"/>
      <c r="C47" s="417"/>
      <c r="D47" s="263" t="s">
        <v>297</v>
      </c>
      <c r="E47" s="259"/>
      <c r="F47" s="236" t="s">
        <v>306</v>
      </c>
      <c r="G47" s="414" t="s">
        <v>329</v>
      </c>
      <c r="H47" s="415"/>
      <c r="I47" s="418"/>
      <c r="J47" s="418"/>
      <c r="K47" s="361">
        <f>K36</f>
        <v>1</v>
      </c>
      <c r="L47" s="418"/>
      <c r="M47" s="257">
        <f>ROUND(K47*(0.1388*I46/K47+262)*1000,-2)</f>
        <v>350500</v>
      </c>
      <c r="N47" s="452" t="s">
        <v>611</v>
      </c>
      <c r="O47" s="453"/>
    </row>
    <row r="48" spans="2:15" ht="19.5" customHeight="1" x14ac:dyDescent="0.15">
      <c r="B48" s="417"/>
      <c r="C48" s="417"/>
      <c r="D48" s="221" t="s">
        <v>262</v>
      </c>
      <c r="E48" s="222"/>
      <c r="F48" s="236" t="s">
        <v>306</v>
      </c>
      <c r="G48" s="421" t="s">
        <v>302</v>
      </c>
      <c r="H48" s="422"/>
      <c r="I48" s="222" t="s">
        <v>314</v>
      </c>
      <c r="J48" s="222" t="s">
        <v>314</v>
      </c>
      <c r="K48" s="222" t="s">
        <v>314</v>
      </c>
      <c r="L48" s="222" t="s">
        <v>314</v>
      </c>
      <c r="M48" s="257">
        <f>SUM(M46:M47)</f>
        <v>425700</v>
      </c>
      <c r="N48" s="237"/>
      <c r="O48" s="265"/>
    </row>
    <row r="49" spans="2:15" ht="30" customHeight="1" x14ac:dyDescent="0.15">
      <c r="B49" s="417"/>
      <c r="C49" s="417"/>
      <c r="D49" s="260" t="s">
        <v>263</v>
      </c>
      <c r="E49" s="193"/>
      <c r="F49" s="219" t="s">
        <v>307</v>
      </c>
      <c r="G49" s="429" t="s">
        <v>286</v>
      </c>
      <c r="H49" s="430"/>
      <c r="I49" s="222" t="s">
        <v>314</v>
      </c>
      <c r="J49" s="222" t="s">
        <v>314</v>
      </c>
      <c r="K49" s="222" t="s">
        <v>314</v>
      </c>
      <c r="L49" s="222" t="s">
        <v>314</v>
      </c>
      <c r="M49" s="279">
        <f>(M46*$N$3+M47*$N$4)*(1-$I$3%)</f>
        <v>13767.231508126848</v>
      </c>
      <c r="N49" s="412" t="s">
        <v>462</v>
      </c>
      <c r="O49" s="413"/>
    </row>
    <row r="50" spans="2:15" ht="30" customHeight="1" x14ac:dyDescent="0.15">
      <c r="B50" s="417"/>
      <c r="C50" s="418"/>
      <c r="D50" s="412" t="s">
        <v>264</v>
      </c>
      <c r="E50" s="413"/>
      <c r="F50" s="219" t="s">
        <v>307</v>
      </c>
      <c r="G50" s="414" t="s">
        <v>510</v>
      </c>
      <c r="H50" s="415"/>
      <c r="I50" s="196">
        <f>'入力シート（実証技術）'!L21*100*365</f>
        <v>186149.99999999997</v>
      </c>
      <c r="J50" s="222" t="s">
        <v>302</v>
      </c>
      <c r="K50" s="222" t="s">
        <v>314</v>
      </c>
      <c r="L50" s="193" t="s">
        <v>500</v>
      </c>
      <c r="M50" s="257">
        <f>153.07*I50^0.3828</f>
        <v>15929.18859355285</v>
      </c>
      <c r="N50" s="260" t="s">
        <v>511</v>
      </c>
      <c r="O50" s="262"/>
    </row>
    <row r="51" spans="2:15" ht="35.25" customHeight="1" x14ac:dyDescent="0.15">
      <c r="B51" s="417"/>
      <c r="C51" s="426" t="s">
        <v>550</v>
      </c>
      <c r="D51" s="412" t="s">
        <v>448</v>
      </c>
      <c r="E51" s="413"/>
      <c r="F51" s="219" t="s">
        <v>307</v>
      </c>
      <c r="G51" s="414" t="s">
        <v>325</v>
      </c>
      <c r="H51" s="415"/>
      <c r="I51" s="196">
        <f>ROUND('マテリアルバランス（実証技術） (日平均)'!G29,2)*100*365</f>
        <v>194910</v>
      </c>
      <c r="J51" s="222" t="s">
        <v>314</v>
      </c>
      <c r="K51" s="222" t="s">
        <v>314</v>
      </c>
      <c r="L51" s="193" t="s">
        <v>500</v>
      </c>
      <c r="M51" s="261">
        <f>ROUND(39*I51^0.596,0)</f>
        <v>55438</v>
      </c>
      <c r="N51" s="273" t="s">
        <v>453</v>
      </c>
      <c r="O51" s="262"/>
    </row>
    <row r="52" spans="2:15" ht="35.25" customHeight="1" x14ac:dyDescent="0.15">
      <c r="B52" s="417"/>
      <c r="C52" s="428"/>
      <c r="D52" s="412" t="s">
        <v>451</v>
      </c>
      <c r="E52" s="413"/>
      <c r="F52" s="219" t="s">
        <v>307</v>
      </c>
      <c r="G52" s="414" t="s">
        <v>325</v>
      </c>
      <c r="H52" s="415"/>
      <c r="I52" s="196">
        <f>ROUND('マテリアルバランス (従来技術) (日平均) '!G30,2)*100*365</f>
        <v>111690</v>
      </c>
      <c r="J52" s="222" t="s">
        <v>314</v>
      </c>
      <c r="K52" s="222" t="s">
        <v>314</v>
      </c>
      <c r="L52" s="193" t="s">
        <v>500</v>
      </c>
      <c r="M52" s="261">
        <f>ROUND(39*I52^0.596,0)</f>
        <v>39781</v>
      </c>
      <c r="N52" s="273" t="s">
        <v>454</v>
      </c>
      <c r="O52" s="262"/>
    </row>
    <row r="53" spans="2:15" ht="35.25" customHeight="1" x14ac:dyDescent="0.15">
      <c r="B53" s="417"/>
      <c r="C53" s="427"/>
      <c r="D53" s="412" t="s">
        <v>452</v>
      </c>
      <c r="E53" s="413"/>
      <c r="F53" s="219"/>
      <c r="G53" s="421" t="s">
        <v>302</v>
      </c>
      <c r="H53" s="422"/>
      <c r="I53" s="222" t="s">
        <v>302</v>
      </c>
      <c r="J53" s="222" t="s">
        <v>302</v>
      </c>
      <c r="K53" s="222" t="s">
        <v>302</v>
      </c>
      <c r="L53" s="222" t="s">
        <v>302</v>
      </c>
      <c r="M53" s="261">
        <f>M51-M52</f>
        <v>15657</v>
      </c>
      <c r="N53" s="412" t="s">
        <v>455</v>
      </c>
      <c r="O53" s="413"/>
    </row>
    <row r="54" spans="2:15" ht="19.5" customHeight="1" x14ac:dyDescent="0.15">
      <c r="B54" s="417"/>
      <c r="C54" s="426" t="s">
        <v>305</v>
      </c>
      <c r="D54" s="255" t="s">
        <v>296</v>
      </c>
      <c r="E54" s="259"/>
      <c r="F54" s="236" t="s">
        <v>306</v>
      </c>
      <c r="G54" s="414" t="s">
        <v>512</v>
      </c>
      <c r="H54" s="415"/>
      <c r="I54" s="416">
        <f>'入力シート（実証技術）'!R21*$I$7</f>
        <v>0.375</v>
      </c>
      <c r="J54" s="416" t="s">
        <v>324</v>
      </c>
      <c r="K54" s="416" t="s">
        <v>324</v>
      </c>
      <c r="L54" s="222" t="s">
        <v>333</v>
      </c>
      <c r="M54" s="257">
        <f>ROUND(25.538*I54^0.1733*1000,-2)</f>
        <v>21500</v>
      </c>
      <c r="N54" s="410" t="s">
        <v>334</v>
      </c>
      <c r="O54" s="411"/>
    </row>
    <row r="55" spans="2:15" ht="19.5" customHeight="1" x14ac:dyDescent="0.15">
      <c r="B55" s="417"/>
      <c r="C55" s="417"/>
      <c r="D55" s="263" t="s">
        <v>297</v>
      </c>
      <c r="E55" s="259"/>
      <c r="F55" s="236" t="s">
        <v>306</v>
      </c>
      <c r="G55" s="414" t="s">
        <v>513</v>
      </c>
      <c r="H55" s="415"/>
      <c r="I55" s="418"/>
      <c r="J55" s="418"/>
      <c r="K55" s="418"/>
      <c r="L55" s="222" t="s">
        <v>333</v>
      </c>
      <c r="M55" s="276">
        <f>ROUND(50.719*I54^0.2152*1000,-2)</f>
        <v>41100</v>
      </c>
      <c r="N55" s="410" t="s">
        <v>334</v>
      </c>
      <c r="O55" s="411"/>
    </row>
    <row r="56" spans="2:15" ht="19.5" customHeight="1" x14ac:dyDescent="0.15">
      <c r="B56" s="417"/>
      <c r="C56" s="417"/>
      <c r="D56" s="221" t="s">
        <v>262</v>
      </c>
      <c r="E56" s="222"/>
      <c r="F56" s="236" t="s">
        <v>306</v>
      </c>
      <c r="G56" s="421" t="s">
        <v>302</v>
      </c>
      <c r="H56" s="422"/>
      <c r="I56" s="222" t="s">
        <v>314</v>
      </c>
      <c r="J56" s="222" t="s">
        <v>314</v>
      </c>
      <c r="K56" s="222" t="s">
        <v>314</v>
      </c>
      <c r="L56" s="222" t="s">
        <v>314</v>
      </c>
      <c r="M56" s="257">
        <f>SUM(M54:M55)</f>
        <v>62600</v>
      </c>
      <c r="N56" s="237"/>
      <c r="O56" s="265"/>
    </row>
    <row r="57" spans="2:15" ht="30" customHeight="1" x14ac:dyDescent="0.15">
      <c r="B57" s="417"/>
      <c r="C57" s="417"/>
      <c r="D57" s="260" t="s">
        <v>263</v>
      </c>
      <c r="E57" s="193"/>
      <c r="F57" s="219" t="s">
        <v>307</v>
      </c>
      <c r="G57" s="429" t="s">
        <v>286</v>
      </c>
      <c r="H57" s="430"/>
      <c r="I57" s="222" t="s">
        <v>314</v>
      </c>
      <c r="J57" s="222" t="s">
        <v>314</v>
      </c>
      <c r="K57" s="222" t="s">
        <v>314</v>
      </c>
      <c r="L57" s="222" t="s">
        <v>314</v>
      </c>
      <c r="M57" s="279">
        <f>(M54*$N$3+M55*$N$4)*(1-$I$4%)</f>
        <v>4042.8090920431819</v>
      </c>
      <c r="N57" s="412" t="s">
        <v>463</v>
      </c>
      <c r="O57" s="413"/>
    </row>
    <row r="58" spans="2:15" ht="30" customHeight="1" x14ac:dyDescent="0.15">
      <c r="B58" s="417"/>
      <c r="C58" s="418"/>
      <c r="D58" s="412" t="s">
        <v>264</v>
      </c>
      <c r="E58" s="413"/>
      <c r="F58" s="219" t="s">
        <v>307</v>
      </c>
      <c r="G58" s="414" t="s">
        <v>514</v>
      </c>
      <c r="H58" s="415"/>
      <c r="I58" s="193">
        <f>'入力シート（実証技術）'!R21</f>
        <v>0.3</v>
      </c>
      <c r="J58" s="222" t="s">
        <v>314</v>
      </c>
      <c r="K58" s="222" t="s">
        <v>314</v>
      </c>
      <c r="L58" s="222" t="s">
        <v>333</v>
      </c>
      <c r="M58" s="257">
        <f>14102*I58^0.6412</f>
        <v>6516.4468723286855</v>
      </c>
      <c r="N58" s="410" t="s">
        <v>464</v>
      </c>
      <c r="O58" s="411"/>
    </row>
    <row r="59" spans="2:15" ht="19.5" customHeight="1" x14ac:dyDescent="0.15">
      <c r="B59" s="417"/>
      <c r="C59" s="426" t="s">
        <v>540</v>
      </c>
      <c r="D59" s="255" t="s">
        <v>296</v>
      </c>
      <c r="E59" s="259"/>
      <c r="F59" s="236" t="s">
        <v>306</v>
      </c>
      <c r="G59" s="414" t="s">
        <v>515</v>
      </c>
      <c r="H59" s="415"/>
      <c r="I59" s="416">
        <f>'入力シート（実証技術）'!O21*$I$7</f>
        <v>0.75</v>
      </c>
      <c r="J59" s="416" t="s">
        <v>324</v>
      </c>
      <c r="K59" s="416" t="s">
        <v>324</v>
      </c>
      <c r="L59" s="222" t="s">
        <v>333</v>
      </c>
      <c r="M59" s="257">
        <f>ROUND(26.386*I59^0.3118*1000,-2)</f>
        <v>24100</v>
      </c>
      <c r="N59" s="410" t="s">
        <v>334</v>
      </c>
      <c r="O59" s="411"/>
    </row>
    <row r="60" spans="2:15" ht="19.5" customHeight="1" x14ac:dyDescent="0.15">
      <c r="B60" s="417"/>
      <c r="C60" s="417"/>
      <c r="D60" s="263" t="s">
        <v>297</v>
      </c>
      <c r="E60" s="259"/>
      <c r="F60" s="236" t="s">
        <v>306</v>
      </c>
      <c r="G60" s="414" t="s">
        <v>516</v>
      </c>
      <c r="H60" s="415"/>
      <c r="I60" s="418"/>
      <c r="J60" s="418"/>
      <c r="K60" s="418"/>
      <c r="L60" s="222" t="s">
        <v>333</v>
      </c>
      <c r="M60" s="276">
        <f>ROUND(50.808*I59^0.3717*1000,-2)</f>
        <v>45700</v>
      </c>
      <c r="N60" s="410" t="s">
        <v>334</v>
      </c>
      <c r="O60" s="411"/>
    </row>
    <row r="61" spans="2:15" ht="19.5" customHeight="1" x14ac:dyDescent="0.15">
      <c r="B61" s="417"/>
      <c r="C61" s="417"/>
      <c r="D61" s="221" t="s">
        <v>262</v>
      </c>
      <c r="E61" s="222"/>
      <c r="F61" s="236" t="s">
        <v>306</v>
      </c>
      <c r="G61" s="421" t="s">
        <v>302</v>
      </c>
      <c r="H61" s="422"/>
      <c r="I61" s="222" t="s">
        <v>314</v>
      </c>
      <c r="J61" s="222" t="s">
        <v>314</v>
      </c>
      <c r="K61" s="222" t="s">
        <v>314</v>
      </c>
      <c r="L61" s="222" t="s">
        <v>314</v>
      </c>
      <c r="M61" s="257">
        <f>SUM(M59:M60)</f>
        <v>69800</v>
      </c>
      <c r="N61" s="237"/>
      <c r="O61" s="265"/>
    </row>
    <row r="62" spans="2:15" ht="30" customHeight="1" x14ac:dyDescent="0.15">
      <c r="B62" s="417"/>
      <c r="C62" s="417"/>
      <c r="D62" s="260" t="s">
        <v>263</v>
      </c>
      <c r="E62" s="193"/>
      <c r="F62" s="219" t="s">
        <v>307</v>
      </c>
      <c r="G62" s="429" t="s">
        <v>286</v>
      </c>
      <c r="H62" s="430"/>
      <c r="I62" s="222" t="s">
        <v>314</v>
      </c>
      <c r="J62" s="222" t="s">
        <v>314</v>
      </c>
      <c r="K62" s="222" t="s">
        <v>314</v>
      </c>
      <c r="L62" s="222" t="s">
        <v>314</v>
      </c>
      <c r="M62" s="279">
        <f>(M59*$N$3+M60*$N$4)*(1-$I$3%)</f>
        <v>2026.0092358171139</v>
      </c>
      <c r="N62" s="412" t="s">
        <v>465</v>
      </c>
      <c r="O62" s="413"/>
    </row>
    <row r="63" spans="2:15" ht="30" customHeight="1" x14ac:dyDescent="0.15">
      <c r="B63" s="417"/>
      <c r="C63" s="418"/>
      <c r="D63" s="412" t="s">
        <v>264</v>
      </c>
      <c r="E63" s="413"/>
      <c r="F63" s="219" t="s">
        <v>307</v>
      </c>
      <c r="G63" s="414" t="s">
        <v>517</v>
      </c>
      <c r="H63" s="415"/>
      <c r="I63" s="193">
        <f>'入力シート（実証技術）'!O21</f>
        <v>0.6</v>
      </c>
      <c r="J63" s="222" t="s">
        <v>314</v>
      </c>
      <c r="K63" s="222" t="s">
        <v>314</v>
      </c>
      <c r="L63" s="222" t="s">
        <v>333</v>
      </c>
      <c r="M63" s="257">
        <f>1862.1*I63^0.5707</f>
        <v>1391.2139337229598</v>
      </c>
      <c r="N63" s="410" t="s">
        <v>466</v>
      </c>
      <c r="O63" s="411"/>
    </row>
    <row r="64" spans="2:15" ht="19.5" customHeight="1" x14ac:dyDescent="0.15">
      <c r="B64" s="417"/>
      <c r="C64" s="416" t="s">
        <v>303</v>
      </c>
      <c r="D64" s="255" t="s">
        <v>296</v>
      </c>
      <c r="E64" s="259"/>
      <c r="F64" s="236" t="s">
        <v>306</v>
      </c>
      <c r="G64" s="414" t="s">
        <v>310</v>
      </c>
      <c r="H64" s="415"/>
      <c r="I64" s="439">
        <f>'マテリアルバランス（実証技術） (日平均)'!K14</f>
        <v>164.07992304542483</v>
      </c>
      <c r="J64" s="441">
        <f>ROUNDUP(I64/25,0)*25</f>
        <v>175</v>
      </c>
      <c r="K64" s="416" t="s">
        <v>314</v>
      </c>
      <c r="L64" s="416" t="s">
        <v>315</v>
      </c>
      <c r="M64" s="257">
        <f>ROUND((0.0263*J64+5.8284)*1000,-2)</f>
        <v>10400</v>
      </c>
      <c r="N64" s="260" t="s">
        <v>331</v>
      </c>
      <c r="O64" s="262"/>
    </row>
    <row r="65" spans="2:15" ht="19.5" customHeight="1" x14ac:dyDescent="0.15">
      <c r="B65" s="417"/>
      <c r="C65" s="417"/>
      <c r="D65" s="263" t="s">
        <v>297</v>
      </c>
      <c r="E65" s="259"/>
      <c r="F65" s="236" t="s">
        <v>306</v>
      </c>
      <c r="G65" s="414" t="s">
        <v>309</v>
      </c>
      <c r="H65" s="415"/>
      <c r="I65" s="440"/>
      <c r="J65" s="442"/>
      <c r="K65" s="418"/>
      <c r="L65" s="418"/>
      <c r="M65" s="257">
        <f>ROUND(1.3132*J64*1000,-2)</f>
        <v>229800</v>
      </c>
      <c r="N65" s="263" t="s">
        <v>335</v>
      </c>
      <c r="O65" s="264"/>
    </row>
    <row r="66" spans="2:15" ht="19.5" customHeight="1" x14ac:dyDescent="0.15">
      <c r="B66" s="417"/>
      <c r="C66" s="417"/>
      <c r="D66" s="221" t="s">
        <v>262</v>
      </c>
      <c r="E66" s="222"/>
      <c r="F66" s="236" t="s">
        <v>306</v>
      </c>
      <c r="G66" s="414" t="s">
        <v>302</v>
      </c>
      <c r="H66" s="415"/>
      <c r="I66" s="222" t="s">
        <v>314</v>
      </c>
      <c r="J66" s="222" t="s">
        <v>314</v>
      </c>
      <c r="K66" s="222" t="s">
        <v>314</v>
      </c>
      <c r="L66" s="222" t="s">
        <v>314</v>
      </c>
      <c r="M66" s="257">
        <f>SUM(M64:M65)</f>
        <v>240200</v>
      </c>
      <c r="N66" s="237"/>
      <c r="O66" s="265"/>
    </row>
    <row r="67" spans="2:15" ht="30" customHeight="1" x14ac:dyDescent="0.15">
      <c r="B67" s="417"/>
      <c r="C67" s="417"/>
      <c r="D67" s="260" t="s">
        <v>263</v>
      </c>
      <c r="E67" s="193"/>
      <c r="F67" s="219" t="s">
        <v>307</v>
      </c>
      <c r="G67" s="429" t="s">
        <v>286</v>
      </c>
      <c r="H67" s="430"/>
      <c r="I67" s="222" t="s">
        <v>314</v>
      </c>
      <c r="J67" s="222" t="s">
        <v>314</v>
      </c>
      <c r="K67" s="222" t="s">
        <v>314</v>
      </c>
      <c r="L67" s="222" t="s">
        <v>314</v>
      </c>
      <c r="M67" s="223">
        <f>(M64*$N$3+M65*$N$4)*(1-$I$5%)</f>
        <v>18661.564713426582</v>
      </c>
      <c r="N67" s="412" t="s">
        <v>467</v>
      </c>
      <c r="O67" s="413"/>
    </row>
    <row r="68" spans="2:15" ht="30" customHeight="1" x14ac:dyDescent="0.15">
      <c r="B68" s="417"/>
      <c r="C68" s="418"/>
      <c r="D68" s="412" t="s">
        <v>264</v>
      </c>
      <c r="E68" s="413"/>
      <c r="F68" s="219" t="s">
        <v>307</v>
      </c>
      <c r="G68" s="414" t="s">
        <v>308</v>
      </c>
      <c r="H68" s="415"/>
      <c r="I68" s="217">
        <f>I64</f>
        <v>164.07992304542483</v>
      </c>
      <c r="J68" s="193">
        <f>J64</f>
        <v>175</v>
      </c>
      <c r="K68" s="222" t="s">
        <v>314</v>
      </c>
      <c r="L68" s="222" t="s">
        <v>315</v>
      </c>
      <c r="M68" s="261">
        <f>57.9*J68</f>
        <v>10132.5</v>
      </c>
      <c r="N68" s="260" t="s">
        <v>468</v>
      </c>
      <c r="O68" s="262"/>
    </row>
    <row r="69" spans="2:15" ht="19.5" customHeight="1" x14ac:dyDescent="0.15">
      <c r="B69" s="417"/>
      <c r="C69" s="266" t="s">
        <v>299</v>
      </c>
      <c r="D69" s="258" t="s">
        <v>299</v>
      </c>
      <c r="E69" s="256"/>
      <c r="F69" s="229" t="s">
        <v>307</v>
      </c>
      <c r="G69" s="414" t="s">
        <v>301</v>
      </c>
      <c r="H69" s="415"/>
      <c r="I69" s="218">
        <f>ROUND(I68*24*365*$M$9%,-2)</f>
        <v>1336700</v>
      </c>
      <c r="J69" s="222" t="s">
        <v>314</v>
      </c>
      <c r="K69" s="222" t="s">
        <v>314</v>
      </c>
      <c r="L69" s="222" t="s">
        <v>313</v>
      </c>
      <c r="M69" s="257">
        <f>-I69*$E$3/1000</f>
        <v>-52131.3</v>
      </c>
      <c r="N69" s="258" t="s">
        <v>469</v>
      </c>
      <c r="O69" s="265"/>
    </row>
    <row r="70" spans="2:15" ht="19.5" customHeight="1" x14ac:dyDescent="0.15">
      <c r="B70" s="417"/>
      <c r="C70" s="416" t="s">
        <v>471</v>
      </c>
      <c r="D70" s="258" t="s">
        <v>291</v>
      </c>
      <c r="E70" s="256"/>
      <c r="F70" s="219" t="s">
        <v>307</v>
      </c>
      <c r="G70" s="414" t="s">
        <v>591</v>
      </c>
      <c r="H70" s="415"/>
      <c r="I70" s="218">
        <f>I25</f>
        <v>730</v>
      </c>
      <c r="J70" s="222" t="s">
        <v>314</v>
      </c>
      <c r="K70" s="222" t="s">
        <v>314</v>
      </c>
      <c r="L70" s="222" t="s">
        <v>312</v>
      </c>
      <c r="M70" s="257">
        <f>I70*$E$6/1000</f>
        <v>5110</v>
      </c>
      <c r="N70" s="258" t="s">
        <v>444</v>
      </c>
      <c r="O70" s="265"/>
    </row>
    <row r="71" spans="2:15" ht="19.5" customHeight="1" x14ac:dyDescent="0.15">
      <c r="B71" s="417"/>
      <c r="C71" s="417"/>
      <c r="D71" s="258" t="s">
        <v>311</v>
      </c>
      <c r="E71" s="256"/>
      <c r="F71" s="219" t="s">
        <v>307</v>
      </c>
      <c r="G71" s="414" t="s">
        <v>591</v>
      </c>
      <c r="H71" s="415"/>
      <c r="I71" s="218">
        <f>I26</f>
        <v>1460</v>
      </c>
      <c r="J71" s="222" t="s">
        <v>314</v>
      </c>
      <c r="K71" s="222" t="s">
        <v>314</v>
      </c>
      <c r="L71" s="222" t="s">
        <v>312</v>
      </c>
      <c r="M71" s="257">
        <f>I71*$E$7/1000</f>
        <v>10220</v>
      </c>
      <c r="N71" s="258" t="s">
        <v>445</v>
      </c>
      <c r="O71" s="265"/>
    </row>
    <row r="72" spans="2:15" ht="19.5" customHeight="1" x14ac:dyDescent="0.15">
      <c r="B72" s="417"/>
      <c r="C72" s="418"/>
      <c r="D72" s="267" t="s">
        <v>292</v>
      </c>
      <c r="E72" s="268"/>
      <c r="F72" s="219" t="s">
        <v>307</v>
      </c>
      <c r="G72" s="414" t="s">
        <v>293</v>
      </c>
      <c r="H72" s="415"/>
      <c r="I72" s="218">
        <f>ROUND('マテリアルバランス（実証技術） (日平均)'!J34,1)*365</f>
        <v>4599</v>
      </c>
      <c r="J72" s="222" t="s">
        <v>314</v>
      </c>
      <c r="K72" s="222" t="s">
        <v>314</v>
      </c>
      <c r="L72" s="222" t="s">
        <v>312</v>
      </c>
      <c r="M72" s="257">
        <f>I72*$E$5/1000</f>
        <v>105777</v>
      </c>
      <c r="N72" s="258" t="s">
        <v>446</v>
      </c>
      <c r="O72" s="264"/>
    </row>
    <row r="73" spans="2:15" ht="19.5" customHeight="1" x14ac:dyDescent="0.15">
      <c r="B73" s="418"/>
      <c r="C73" s="437" t="s">
        <v>472</v>
      </c>
      <c r="D73" s="438"/>
      <c r="E73" s="363"/>
      <c r="F73" s="219" t="s">
        <v>307</v>
      </c>
      <c r="G73" s="414" t="s">
        <v>302</v>
      </c>
      <c r="H73" s="415"/>
      <c r="I73" s="222"/>
      <c r="J73" s="222"/>
      <c r="K73" s="222"/>
      <c r="L73" s="222"/>
      <c r="M73" s="280">
        <f>SUM(M39,M40,M44,M45,M49,M50,M53,M57,M58,M62,M63)+SUM(M67:M72)</f>
        <v>181339.51403596229</v>
      </c>
      <c r="N73" s="281" t="s">
        <v>470</v>
      </c>
      <c r="O73" s="282"/>
    </row>
    <row r="74" spans="2:15" ht="39" customHeight="1" x14ac:dyDescent="0.15">
      <c r="B74" s="432" t="s">
        <v>268</v>
      </c>
      <c r="C74" s="433"/>
      <c r="D74" s="433"/>
      <c r="E74" s="362"/>
      <c r="F74" s="283" t="s">
        <v>269</v>
      </c>
      <c r="G74" s="414"/>
      <c r="H74" s="415"/>
      <c r="I74" s="222"/>
      <c r="J74" s="222"/>
      <c r="K74" s="222"/>
      <c r="L74" s="222"/>
      <c r="M74" s="356">
        <f>1-M73/M28</f>
        <v>0.21030241278599404</v>
      </c>
      <c r="N74" s="237" t="s">
        <v>270</v>
      </c>
      <c r="O74" s="265"/>
    </row>
    <row r="75" spans="2:15" ht="19.5" customHeight="1" x14ac:dyDescent="0.15"/>
    <row r="76" spans="2:15" ht="19.5" customHeight="1" x14ac:dyDescent="0.15"/>
    <row r="77" spans="2:15" ht="19.5" customHeight="1" x14ac:dyDescent="0.15">
      <c r="B77" s="231" t="s">
        <v>522</v>
      </c>
      <c r="J77" s="231" t="s">
        <v>548</v>
      </c>
      <c r="K77" s="293"/>
      <c r="L77" s="293"/>
      <c r="M77" s="293"/>
      <c r="N77" s="293"/>
      <c r="O77" s="293"/>
    </row>
    <row r="78" spans="2:15" ht="19.5" customHeight="1" x14ac:dyDescent="0.15">
      <c r="B78" s="219" t="s">
        <v>518</v>
      </c>
      <c r="C78" s="434" t="s">
        <v>483</v>
      </c>
      <c r="D78" s="435"/>
      <c r="E78" s="436"/>
      <c r="F78" s="299" t="s">
        <v>484</v>
      </c>
      <c r="G78" s="419" t="s">
        <v>485</v>
      </c>
      <c r="H78" s="420"/>
      <c r="I78" s="286"/>
      <c r="J78" s="247" t="s">
        <v>253</v>
      </c>
      <c r="K78" s="284"/>
      <c r="L78" s="316" t="s">
        <v>552</v>
      </c>
      <c r="M78" s="316" t="s">
        <v>557</v>
      </c>
      <c r="N78" s="299" t="s">
        <v>558</v>
      </c>
      <c r="O78" s="318" t="s">
        <v>551</v>
      </c>
    </row>
    <row r="79" spans="2:15" ht="19.5" customHeight="1" x14ac:dyDescent="0.15">
      <c r="B79" s="266"/>
      <c r="C79" s="285"/>
      <c r="D79" s="290" t="s">
        <v>486</v>
      </c>
      <c r="E79" s="290" t="s">
        <v>487</v>
      </c>
      <c r="F79" s="288"/>
      <c r="G79" s="288"/>
      <c r="H79" s="287"/>
      <c r="I79" s="286"/>
      <c r="J79" s="291"/>
      <c r="K79" s="315"/>
      <c r="L79" s="317" t="s">
        <v>553</v>
      </c>
      <c r="M79" s="317" t="s">
        <v>553</v>
      </c>
      <c r="N79" s="319" t="s">
        <v>561</v>
      </c>
      <c r="O79" s="320" t="s">
        <v>562</v>
      </c>
    </row>
    <row r="80" spans="2:15" ht="19.5" customHeight="1" x14ac:dyDescent="0.15">
      <c r="B80" s="220"/>
      <c r="C80" s="289"/>
      <c r="D80" s="294" t="s">
        <v>488</v>
      </c>
      <c r="E80" s="294" t="s">
        <v>489</v>
      </c>
      <c r="F80" s="295" t="s">
        <v>490</v>
      </c>
      <c r="G80" s="319" t="s">
        <v>488</v>
      </c>
      <c r="H80" s="320" t="s">
        <v>560</v>
      </c>
      <c r="I80" s="286"/>
      <c r="J80" s="260" t="s">
        <v>559</v>
      </c>
      <c r="K80" s="314"/>
      <c r="L80" s="321">
        <f>'マテリアルバランス (従来技術) (日平均) '!G7</f>
        <v>2040</v>
      </c>
      <c r="M80" s="321">
        <f>'マテリアルバランス (従来技術) (日平均) '!G9</f>
        <v>2040</v>
      </c>
      <c r="N80" s="298">
        <f>I19</f>
        <v>161.6888888888889</v>
      </c>
      <c r="O80" s="322">
        <f>I24</f>
        <v>1317200</v>
      </c>
    </row>
    <row r="81" spans="2:15" ht="19.5" customHeight="1" x14ac:dyDescent="0.15">
      <c r="B81" s="426" t="s">
        <v>521</v>
      </c>
      <c r="C81" s="290" t="s">
        <v>523</v>
      </c>
      <c r="D81" s="296">
        <f>'入力シート（実証技術）'!L21</f>
        <v>5.0999999999999996</v>
      </c>
      <c r="E81" s="297">
        <f>'入力シート（実証技術）'!L23</f>
        <v>80</v>
      </c>
      <c r="F81" s="298">
        <f>プログラムシート!Z36*100</f>
        <v>50</v>
      </c>
      <c r="G81" s="301">
        <f>ROUND(+D81*F81/100*E81/100,3)</f>
        <v>2.04</v>
      </c>
      <c r="H81" s="304">
        <f>ROUND(G81*365,1)</f>
        <v>744.6</v>
      </c>
      <c r="I81" s="286"/>
      <c r="J81" s="237" t="s">
        <v>267</v>
      </c>
      <c r="K81" s="314"/>
      <c r="L81" s="321">
        <f>'マテリアルバランス（実証技術） (日平均)'!G5</f>
        <v>2686.8247575</v>
      </c>
      <c r="M81" s="321">
        <f>'マテリアルバランス（実証技術） (日平均)'!G7</f>
        <v>2070.1672533768556</v>
      </c>
      <c r="N81" s="298">
        <f>I68</f>
        <v>164.07992304542483</v>
      </c>
      <c r="O81" s="322">
        <f>I69</f>
        <v>1336700</v>
      </c>
    </row>
    <row r="82" spans="2:15" ht="19.5" customHeight="1" x14ac:dyDescent="0.15">
      <c r="B82" s="427"/>
      <c r="C82" s="423" t="s">
        <v>520</v>
      </c>
      <c r="D82" s="424"/>
      <c r="E82" s="424"/>
      <c r="F82" s="425"/>
      <c r="G82" s="302">
        <f>SUM(G81)</f>
        <v>2.04</v>
      </c>
      <c r="H82" s="305">
        <f>SUM(H78:H81)</f>
        <v>744.6</v>
      </c>
      <c r="I82" s="286"/>
    </row>
    <row r="83" spans="2:15" ht="19.5" customHeight="1" x14ac:dyDescent="0.15">
      <c r="B83" s="416" t="s">
        <v>267</v>
      </c>
      <c r="C83" s="290" t="s">
        <v>523</v>
      </c>
      <c r="D83" s="296">
        <f>'入力シート（実証技術）'!L21</f>
        <v>5.0999999999999996</v>
      </c>
      <c r="E83" s="297">
        <f>'入力シート（実証技術）'!L23</f>
        <v>80</v>
      </c>
      <c r="F83" s="298">
        <f>プログラムシート!Z36*100</f>
        <v>50</v>
      </c>
      <c r="G83" s="301">
        <f>ROUND(+D83*F83/100*E83/100,3)</f>
        <v>2.04</v>
      </c>
      <c r="H83" s="304">
        <f>ROUND(G83*365,1)</f>
        <v>744.6</v>
      </c>
      <c r="I83" s="286"/>
    </row>
    <row r="84" spans="2:15" ht="19.5" customHeight="1" x14ac:dyDescent="0.15">
      <c r="B84" s="417"/>
      <c r="C84" s="285" t="s">
        <v>491</v>
      </c>
      <c r="D84" s="296">
        <f>'入力シート（実証技術）'!R21</f>
        <v>0.3</v>
      </c>
      <c r="E84" s="297">
        <f>'入力シート（実証技術）'!R23</f>
        <v>90</v>
      </c>
      <c r="F84" s="298">
        <f>プログラムシート!AA40*100</f>
        <v>72</v>
      </c>
      <c r="G84" s="301">
        <f>ROUND(+D84*E84/100*F84/100,3)</f>
        <v>0.19400000000000001</v>
      </c>
      <c r="H84" s="304">
        <f t="shared" ref="H84:H86" si="0">ROUND(G84*365,1)</f>
        <v>70.8</v>
      </c>
      <c r="I84" s="286"/>
    </row>
    <row r="85" spans="2:15" ht="19.5" customHeight="1" x14ac:dyDescent="0.15">
      <c r="B85" s="417"/>
      <c r="C85" s="290" t="s">
        <v>492</v>
      </c>
      <c r="D85" s="296">
        <f>'入力シート（実証技術）'!O21</f>
        <v>0.6</v>
      </c>
      <c r="E85" s="297">
        <f>'入力シート（実証技術）'!O23</f>
        <v>80</v>
      </c>
      <c r="F85" s="298">
        <f>プログラムシート!AA38*100</f>
        <v>33</v>
      </c>
      <c r="G85" s="301">
        <f>ROUND(+D85*F85/100*E85/100,3)</f>
        <v>0.158</v>
      </c>
      <c r="H85" s="304">
        <f t="shared" si="0"/>
        <v>57.7</v>
      </c>
      <c r="I85" s="286"/>
    </row>
    <row r="86" spans="2:15" ht="19.5" customHeight="1" x14ac:dyDescent="0.15">
      <c r="B86" s="417"/>
      <c r="C86" s="290" t="s">
        <v>493</v>
      </c>
      <c r="D86" s="303">
        <f>ROUND(プログラムシート!S50,1)</f>
        <v>2.2000000000000002</v>
      </c>
      <c r="E86" s="297">
        <f>ROUND(プログラムシート!AD49,1)</f>
        <v>62.9</v>
      </c>
      <c r="F86" s="298">
        <f>プログラムシート!Z37*100</f>
        <v>33</v>
      </c>
      <c r="G86" s="301">
        <f>ROUND(+D86*F86/100*E86/100,3)</f>
        <v>0.45700000000000002</v>
      </c>
      <c r="H86" s="304">
        <f t="shared" si="0"/>
        <v>166.8</v>
      </c>
      <c r="I86" s="286"/>
    </row>
    <row r="87" spans="2:15" ht="19.5" customHeight="1" x14ac:dyDescent="0.15">
      <c r="B87" s="418"/>
      <c r="C87" s="423" t="s">
        <v>519</v>
      </c>
      <c r="D87" s="424"/>
      <c r="E87" s="424"/>
      <c r="F87" s="425"/>
      <c r="G87" s="302">
        <f>SUM(G83:G86)</f>
        <v>2.8489999999999998</v>
      </c>
      <c r="H87" s="305">
        <f>SUM(H83:H86)</f>
        <v>1039.9000000000001</v>
      </c>
      <c r="I87" s="286"/>
    </row>
    <row r="88" spans="2:15" ht="19.5" customHeight="1" x14ac:dyDescent="0.15"/>
    <row r="89" spans="2:15" ht="19.5" customHeight="1" x14ac:dyDescent="0.15"/>
    <row r="90" spans="2:15" ht="24" x14ac:dyDescent="0.15">
      <c r="B90" s="231" t="s">
        <v>549</v>
      </c>
    </row>
    <row r="91" spans="2:15" x14ac:dyDescent="0.15">
      <c r="B91" s="219" t="s">
        <v>253</v>
      </c>
      <c r="C91" s="219" t="s">
        <v>254</v>
      </c>
      <c r="D91" s="246" t="s">
        <v>255</v>
      </c>
      <c r="E91" s="193"/>
      <c r="F91" s="219" t="s">
        <v>256</v>
      </c>
      <c r="G91" s="421" t="s">
        <v>584</v>
      </c>
      <c r="H91" s="422"/>
      <c r="I91" s="414" t="s">
        <v>213</v>
      </c>
      <c r="J91" s="431"/>
      <c r="K91" s="431"/>
      <c r="L91" s="415"/>
      <c r="M91" s="249" t="s">
        <v>529</v>
      </c>
      <c r="N91" s="246" t="s">
        <v>258</v>
      </c>
      <c r="O91" s="250"/>
    </row>
    <row r="92" spans="2:15" x14ac:dyDescent="0.15">
      <c r="B92" s="220"/>
      <c r="C92" s="220"/>
      <c r="D92" s="251"/>
      <c r="E92" s="252"/>
      <c r="F92" s="220"/>
      <c r="G92" s="251"/>
      <c r="H92" s="252"/>
      <c r="I92" s="252" t="s">
        <v>323</v>
      </c>
      <c r="J92" s="252" t="s">
        <v>285</v>
      </c>
      <c r="K92" s="252" t="s">
        <v>321</v>
      </c>
      <c r="L92" s="252" t="s">
        <v>256</v>
      </c>
      <c r="M92" s="253"/>
      <c r="N92" s="251"/>
      <c r="O92" s="254"/>
    </row>
    <row r="93" spans="2:15" ht="35.25" customHeight="1" x14ac:dyDescent="0.15">
      <c r="B93" s="300" t="s">
        <v>521</v>
      </c>
      <c r="C93" s="220" t="s">
        <v>524</v>
      </c>
      <c r="D93" s="412" t="s">
        <v>271</v>
      </c>
      <c r="E93" s="413"/>
      <c r="F93" s="219" t="s">
        <v>525</v>
      </c>
      <c r="G93" s="414" t="s">
        <v>528</v>
      </c>
      <c r="H93" s="415"/>
      <c r="I93" s="196">
        <f>'入力シート（実証技術）'!L21*100*365</f>
        <v>186149.99999999997</v>
      </c>
      <c r="J93" s="222" t="s">
        <v>314</v>
      </c>
      <c r="K93" s="222" t="s">
        <v>314</v>
      </c>
      <c r="L93" s="193" t="s">
        <v>500</v>
      </c>
      <c r="M93" s="261">
        <f>ROUND(0.9*I93+6283.3,-2)</f>
        <v>173800</v>
      </c>
      <c r="N93" s="260" t="s">
        <v>533</v>
      </c>
      <c r="O93" s="262"/>
    </row>
    <row r="94" spans="2:15" ht="18.75" customHeight="1" x14ac:dyDescent="0.15">
      <c r="B94" s="307"/>
      <c r="C94" s="423" t="s">
        <v>526</v>
      </c>
      <c r="D94" s="424"/>
      <c r="E94" s="425"/>
      <c r="F94" s="219" t="s">
        <v>525</v>
      </c>
      <c r="G94" s="421" t="s">
        <v>302</v>
      </c>
      <c r="H94" s="422"/>
      <c r="I94" s="222" t="s">
        <v>314</v>
      </c>
      <c r="J94" s="222" t="s">
        <v>314</v>
      </c>
      <c r="K94" s="222" t="s">
        <v>314</v>
      </c>
      <c r="L94" s="222" t="s">
        <v>314</v>
      </c>
      <c r="M94" s="269">
        <f>SUM(M93)</f>
        <v>173800</v>
      </c>
      <c r="N94" s="281"/>
      <c r="O94" s="271"/>
    </row>
    <row r="95" spans="2:15" ht="18.75" customHeight="1" x14ac:dyDescent="0.15">
      <c r="B95" s="306"/>
      <c r="C95" s="423" t="s">
        <v>546</v>
      </c>
      <c r="D95" s="424"/>
      <c r="E95" s="425"/>
      <c r="F95" s="219" t="s">
        <v>547</v>
      </c>
      <c r="G95" s="246"/>
      <c r="H95" s="193"/>
      <c r="I95" s="193"/>
      <c r="J95" s="193"/>
      <c r="K95" s="193"/>
      <c r="L95" s="193"/>
      <c r="M95" s="269">
        <f>M94/H82</f>
        <v>233.41391351060972</v>
      </c>
      <c r="N95" s="281"/>
      <c r="O95" s="271"/>
    </row>
    <row r="96" spans="2:15" ht="30" customHeight="1" x14ac:dyDescent="0.15">
      <c r="B96" s="266" t="s">
        <v>545</v>
      </c>
      <c r="C96" s="220" t="s">
        <v>531</v>
      </c>
      <c r="D96" s="412" t="s">
        <v>271</v>
      </c>
      <c r="E96" s="413"/>
      <c r="F96" s="219" t="s">
        <v>525</v>
      </c>
      <c r="G96" s="414" t="s">
        <v>532</v>
      </c>
      <c r="H96" s="415"/>
      <c r="I96" s="196">
        <f>I36</f>
        <v>3600</v>
      </c>
      <c r="J96" s="196">
        <f>J36</f>
        <v>3600</v>
      </c>
      <c r="K96" s="309">
        <f>K36</f>
        <v>1</v>
      </c>
      <c r="L96" s="193" t="s">
        <v>503</v>
      </c>
      <c r="M96" s="308">
        <f>ROUND(K96*158.42*J96^0.4804,0)</f>
        <v>8096</v>
      </c>
      <c r="N96" s="237" t="s">
        <v>536</v>
      </c>
      <c r="O96" s="262"/>
    </row>
    <row r="97" spans="2:15" ht="30" customHeight="1" x14ac:dyDescent="0.15">
      <c r="B97" s="272"/>
      <c r="C97" s="220" t="s">
        <v>535</v>
      </c>
      <c r="D97" s="412" t="s">
        <v>271</v>
      </c>
      <c r="E97" s="413"/>
      <c r="F97" s="219" t="s">
        <v>525</v>
      </c>
      <c r="G97" s="414" t="s">
        <v>534</v>
      </c>
      <c r="H97" s="415"/>
      <c r="I97" s="196">
        <f>'入力シート（実証技術）'!L21*100*365</f>
        <v>186149.99999999997</v>
      </c>
      <c r="J97" s="222" t="s">
        <v>302</v>
      </c>
      <c r="K97" s="310">
        <f>K47</f>
        <v>1</v>
      </c>
      <c r="L97" s="193" t="s">
        <v>500</v>
      </c>
      <c r="M97" s="257">
        <f>ROUND(K97*11.395 *(I97/K97)^0.7583,0)</f>
        <v>112941</v>
      </c>
      <c r="N97" s="260" t="s">
        <v>533</v>
      </c>
      <c r="O97" s="262"/>
    </row>
    <row r="98" spans="2:15" ht="35.25" customHeight="1" x14ac:dyDescent="0.15">
      <c r="B98" s="272"/>
      <c r="C98" s="300" t="s">
        <v>447</v>
      </c>
      <c r="D98" s="412" t="s">
        <v>537</v>
      </c>
      <c r="E98" s="413"/>
      <c r="F98" s="219" t="s">
        <v>525</v>
      </c>
      <c r="G98" s="414" t="s">
        <v>538</v>
      </c>
      <c r="H98" s="415"/>
      <c r="I98" s="196">
        <f>I97</f>
        <v>186149.99999999997</v>
      </c>
      <c r="J98" s="222" t="s">
        <v>314</v>
      </c>
      <c r="K98" s="222" t="s">
        <v>314</v>
      </c>
      <c r="L98" s="193" t="s">
        <v>500</v>
      </c>
      <c r="M98" s="261">
        <f>ROUND(0.1168*I98+320,0)</f>
        <v>22062</v>
      </c>
      <c r="N98" s="260" t="s">
        <v>533</v>
      </c>
      <c r="O98" s="262"/>
    </row>
    <row r="99" spans="2:15" ht="42" customHeight="1" x14ac:dyDescent="0.15">
      <c r="B99" s="272"/>
      <c r="C99" s="300" t="s">
        <v>305</v>
      </c>
      <c r="D99" s="412" t="s">
        <v>271</v>
      </c>
      <c r="E99" s="413"/>
      <c r="F99" s="219" t="s">
        <v>525</v>
      </c>
      <c r="G99" s="414" t="s">
        <v>541</v>
      </c>
      <c r="H99" s="415"/>
      <c r="I99" s="193">
        <f>'入力シート（実証技術）'!R21</f>
        <v>0.3</v>
      </c>
      <c r="J99" s="222" t="s">
        <v>314</v>
      </c>
      <c r="K99" s="222" t="s">
        <v>314</v>
      </c>
      <c r="L99" s="222" t="s">
        <v>333</v>
      </c>
      <c r="M99" s="257">
        <f>ROUND(54145*I99+412.57,0)</f>
        <v>16656</v>
      </c>
      <c r="N99" s="410" t="s">
        <v>544</v>
      </c>
      <c r="O99" s="411"/>
    </row>
    <row r="100" spans="2:15" ht="42" customHeight="1" x14ac:dyDescent="0.15">
      <c r="B100" s="272"/>
      <c r="C100" s="300" t="s">
        <v>539</v>
      </c>
      <c r="D100" s="412" t="s">
        <v>271</v>
      </c>
      <c r="E100" s="413"/>
      <c r="F100" s="219" t="s">
        <v>525</v>
      </c>
      <c r="G100" s="414" t="s">
        <v>542</v>
      </c>
      <c r="H100" s="415"/>
      <c r="I100" s="193">
        <f>'入力シート（実証技術）'!O21</f>
        <v>0.6</v>
      </c>
      <c r="J100" s="222" t="s">
        <v>314</v>
      </c>
      <c r="K100" s="222" t="s">
        <v>314</v>
      </c>
      <c r="L100" s="222" t="s">
        <v>333</v>
      </c>
      <c r="M100" s="257">
        <f>ROUND(2428.6*I100+364.29,0)</f>
        <v>1821</v>
      </c>
      <c r="N100" s="410" t="s">
        <v>544</v>
      </c>
      <c r="O100" s="411"/>
    </row>
    <row r="101" spans="2:15" ht="19.5" customHeight="1" x14ac:dyDescent="0.15">
      <c r="B101" s="272"/>
      <c r="C101" s="423" t="s">
        <v>543</v>
      </c>
      <c r="D101" s="424"/>
      <c r="E101" s="425"/>
      <c r="F101" s="236" t="s">
        <v>307</v>
      </c>
      <c r="G101" s="414" t="s">
        <v>302</v>
      </c>
      <c r="H101" s="415"/>
      <c r="I101" s="222"/>
      <c r="J101" s="222"/>
      <c r="K101" s="222"/>
      <c r="L101" s="222"/>
      <c r="M101" s="280">
        <f>SUM(M96:M100)</f>
        <v>161576</v>
      </c>
      <c r="N101" s="281"/>
      <c r="O101" s="282"/>
    </row>
    <row r="102" spans="2:15" ht="18.75" customHeight="1" x14ac:dyDescent="0.15">
      <c r="B102" s="306"/>
      <c r="C102" s="423" t="s">
        <v>546</v>
      </c>
      <c r="D102" s="424"/>
      <c r="E102" s="425"/>
      <c r="F102" s="236" t="s">
        <v>547</v>
      </c>
      <c r="G102" s="221"/>
      <c r="H102" s="222"/>
      <c r="I102" s="222"/>
      <c r="J102" s="222"/>
      <c r="K102" s="222"/>
      <c r="L102" s="222"/>
      <c r="M102" s="280">
        <f>M101/H87</f>
        <v>155.3764785075488</v>
      </c>
      <c r="N102" s="281"/>
      <c r="O102" s="311"/>
    </row>
    <row r="103" spans="2:15" ht="24" x14ac:dyDescent="0.15">
      <c r="B103" s="231"/>
    </row>
    <row r="104" spans="2:15" s="293" customFormat="1" ht="24" x14ac:dyDescent="0.15">
      <c r="B104" s="231"/>
      <c r="M104" s="234"/>
    </row>
    <row r="105" spans="2:15" s="293" customFormat="1" ht="24" x14ac:dyDescent="0.15">
      <c r="B105" s="231" t="s">
        <v>272</v>
      </c>
      <c r="M105" s="234"/>
    </row>
    <row r="106" spans="2:15" s="293" customFormat="1" ht="24" x14ac:dyDescent="0.15">
      <c r="B106" s="231"/>
      <c r="M106" s="234"/>
    </row>
    <row r="107" spans="2:15" s="323" customFormat="1" ht="19.5" customHeight="1" x14ac:dyDescent="0.15">
      <c r="C107" s="324" t="s">
        <v>575</v>
      </c>
      <c r="D107" s="325"/>
      <c r="E107" s="326"/>
      <c r="F107" s="327" t="s">
        <v>569</v>
      </c>
      <c r="G107" s="328" t="s">
        <v>626</v>
      </c>
      <c r="H107" s="325">
        <v>0.55500000000000005</v>
      </c>
      <c r="I107" s="323" t="s">
        <v>570</v>
      </c>
    </row>
    <row r="108" spans="2:15" s="323" customFormat="1" ht="19.5" customHeight="1" x14ac:dyDescent="0.15">
      <c r="B108" s="327" t="s">
        <v>563</v>
      </c>
      <c r="C108" s="323" t="s">
        <v>564</v>
      </c>
      <c r="D108" s="325"/>
      <c r="E108" s="326"/>
      <c r="G108" s="328" t="s">
        <v>627</v>
      </c>
      <c r="H108" s="328" t="s">
        <v>592</v>
      </c>
      <c r="I108" s="328" t="s">
        <v>572</v>
      </c>
      <c r="L108" s="351" t="s">
        <v>152</v>
      </c>
      <c r="M108" s="340">
        <v>0.45</v>
      </c>
      <c r="N108" s="323" t="s">
        <v>593</v>
      </c>
    </row>
    <row r="109" spans="2:15" s="323" customFormat="1" ht="19.5" customHeight="1" x14ac:dyDescent="0.15">
      <c r="B109" s="327" t="s">
        <v>565</v>
      </c>
      <c r="C109" s="328" t="s">
        <v>566</v>
      </c>
      <c r="D109" s="325"/>
      <c r="E109" s="325"/>
      <c r="H109" s="328" t="s">
        <v>574</v>
      </c>
      <c r="I109" s="328" t="s">
        <v>572</v>
      </c>
      <c r="L109" s="351" t="s">
        <v>152</v>
      </c>
      <c r="M109" s="340">
        <v>0.189</v>
      </c>
      <c r="N109" s="323" t="s">
        <v>573</v>
      </c>
    </row>
    <row r="110" spans="2:15" s="323" customFormat="1" ht="19.5" customHeight="1" x14ac:dyDescent="0.15">
      <c r="B110" s="327" t="s">
        <v>567</v>
      </c>
      <c r="C110" s="328" t="s">
        <v>568</v>
      </c>
      <c r="D110" s="329"/>
    </row>
    <row r="111" spans="2:15" s="323" customFormat="1" ht="19.5" customHeight="1" x14ac:dyDescent="0.15">
      <c r="B111" s="328"/>
      <c r="C111" s="328"/>
      <c r="D111" s="329"/>
      <c r="E111" s="325"/>
    </row>
    <row r="112" spans="2:15" s="323" customFormat="1" ht="19.5" customHeight="1" x14ac:dyDescent="0.15">
      <c r="B112" s="327"/>
      <c r="C112" s="328"/>
      <c r="D112" s="329"/>
      <c r="E112" s="325"/>
    </row>
    <row r="113" spans="2:15" s="323" customFormat="1" ht="19.5" customHeight="1" x14ac:dyDescent="0.15">
      <c r="B113" s="247" t="s">
        <v>255</v>
      </c>
      <c r="C113" s="349"/>
      <c r="D113" s="349"/>
      <c r="E113" s="248"/>
      <c r="F113" s="229" t="s">
        <v>256</v>
      </c>
      <c r="G113" s="421" t="s">
        <v>584</v>
      </c>
      <c r="H113" s="422"/>
      <c r="I113" s="414" t="s">
        <v>213</v>
      </c>
      <c r="J113" s="431"/>
      <c r="K113" s="431"/>
      <c r="L113" s="415"/>
      <c r="M113" s="229" t="s">
        <v>595</v>
      </c>
      <c r="N113" s="247" t="s">
        <v>258</v>
      </c>
      <c r="O113" s="277"/>
    </row>
    <row r="114" spans="2:15" s="323" customFormat="1" ht="19.5" customHeight="1" x14ac:dyDescent="0.15">
      <c r="B114" s="291"/>
      <c r="C114" s="350"/>
      <c r="D114" s="350"/>
      <c r="E114" s="292"/>
      <c r="F114" s="230"/>
      <c r="G114" s="291"/>
      <c r="H114" s="292"/>
      <c r="I114" s="292" t="s">
        <v>323</v>
      </c>
      <c r="J114" s="292" t="s">
        <v>285</v>
      </c>
      <c r="K114" s="292" t="s">
        <v>321</v>
      </c>
      <c r="L114" s="292" t="s">
        <v>256</v>
      </c>
      <c r="M114" s="229" t="s">
        <v>594</v>
      </c>
      <c r="N114" s="291"/>
      <c r="O114" s="278"/>
    </row>
    <row r="115" spans="2:15" s="293" customFormat="1" ht="35.25" customHeight="1" x14ac:dyDescent="0.15">
      <c r="B115" s="429" t="s">
        <v>576</v>
      </c>
      <c r="C115" s="430"/>
      <c r="D115" s="412" t="s">
        <v>259</v>
      </c>
      <c r="E115" s="413"/>
      <c r="F115" s="346" t="s">
        <v>571</v>
      </c>
      <c r="G115" s="414" t="s">
        <v>577</v>
      </c>
      <c r="H115" s="415"/>
      <c r="I115" s="196">
        <f>O80</f>
        <v>1317200</v>
      </c>
      <c r="J115" s="227" t="s">
        <v>302</v>
      </c>
      <c r="K115" s="227" t="s">
        <v>302</v>
      </c>
      <c r="L115" s="248" t="s">
        <v>525</v>
      </c>
      <c r="M115" s="347">
        <f>ROUND(I115*$H$107/1000,1)</f>
        <v>731</v>
      </c>
      <c r="N115" s="273" t="s">
        <v>579</v>
      </c>
      <c r="O115" s="262"/>
    </row>
    <row r="116" spans="2:15" s="293" customFormat="1" ht="35.25" customHeight="1" x14ac:dyDescent="0.15">
      <c r="B116" s="429"/>
      <c r="C116" s="430"/>
      <c r="D116" s="412" t="s">
        <v>267</v>
      </c>
      <c r="E116" s="413"/>
      <c r="F116" s="346" t="s">
        <v>571</v>
      </c>
      <c r="G116" s="414" t="s">
        <v>577</v>
      </c>
      <c r="H116" s="415"/>
      <c r="I116" s="196">
        <f>O81</f>
        <v>1336700</v>
      </c>
      <c r="J116" s="227" t="s">
        <v>302</v>
      </c>
      <c r="K116" s="227" t="s">
        <v>302</v>
      </c>
      <c r="L116" s="248" t="s">
        <v>525</v>
      </c>
      <c r="M116" s="347">
        <f>ROUND(I116*$H$107/1000,1)</f>
        <v>741.9</v>
      </c>
      <c r="N116" s="273" t="s">
        <v>578</v>
      </c>
      <c r="O116" s="262"/>
    </row>
    <row r="117" spans="2:15" s="293" customFormat="1" ht="35.25" customHeight="1" x14ac:dyDescent="0.15">
      <c r="B117" s="429"/>
      <c r="C117" s="430"/>
      <c r="D117" s="412" t="s">
        <v>272</v>
      </c>
      <c r="E117" s="413"/>
      <c r="F117" s="346" t="s">
        <v>571</v>
      </c>
      <c r="G117" s="414" t="s">
        <v>302</v>
      </c>
      <c r="H117" s="415"/>
      <c r="I117" s="227" t="s">
        <v>302</v>
      </c>
      <c r="J117" s="227" t="s">
        <v>302</v>
      </c>
      <c r="K117" s="227" t="s">
        <v>302</v>
      </c>
      <c r="L117" s="227" t="s">
        <v>302</v>
      </c>
      <c r="M117" s="348">
        <f>M116-M115</f>
        <v>10.899999999999977</v>
      </c>
      <c r="N117" s="412" t="s">
        <v>600</v>
      </c>
      <c r="O117" s="413"/>
    </row>
    <row r="118" spans="2:15" s="293" customFormat="1" ht="35.25" customHeight="1" x14ac:dyDescent="0.15">
      <c r="B118" s="429" t="s">
        <v>580</v>
      </c>
      <c r="C118" s="430"/>
      <c r="D118" s="412" t="s">
        <v>259</v>
      </c>
      <c r="E118" s="413"/>
      <c r="F118" s="346" t="s">
        <v>571</v>
      </c>
      <c r="G118" s="414" t="s">
        <v>583</v>
      </c>
      <c r="H118" s="415"/>
      <c r="I118" s="196">
        <f>M94</f>
        <v>173800</v>
      </c>
      <c r="J118" s="227" t="s">
        <v>302</v>
      </c>
      <c r="K118" s="227" t="s">
        <v>302</v>
      </c>
      <c r="L118" s="248" t="s">
        <v>525</v>
      </c>
      <c r="M118" s="347">
        <f>ROUND(I118*$H$107/1000,1)</f>
        <v>96.5</v>
      </c>
      <c r="N118" s="273" t="s">
        <v>581</v>
      </c>
      <c r="O118" s="262"/>
    </row>
    <row r="119" spans="2:15" s="293" customFormat="1" ht="35.25" customHeight="1" x14ac:dyDescent="0.15">
      <c r="B119" s="429"/>
      <c r="C119" s="430"/>
      <c r="D119" s="412" t="s">
        <v>267</v>
      </c>
      <c r="E119" s="413"/>
      <c r="F119" s="346" t="s">
        <v>571</v>
      </c>
      <c r="G119" s="414" t="s">
        <v>583</v>
      </c>
      <c r="H119" s="415"/>
      <c r="I119" s="196">
        <f>M101</f>
        <v>161576</v>
      </c>
      <c r="J119" s="227" t="s">
        <v>302</v>
      </c>
      <c r="K119" s="227" t="s">
        <v>302</v>
      </c>
      <c r="L119" s="248" t="s">
        <v>525</v>
      </c>
      <c r="M119" s="347">
        <f>ROUND(I119*$H$107/1000,1)</f>
        <v>89.7</v>
      </c>
      <c r="N119" s="273" t="s">
        <v>582</v>
      </c>
      <c r="O119" s="262"/>
    </row>
    <row r="120" spans="2:15" s="293" customFormat="1" ht="35.25" customHeight="1" x14ac:dyDescent="0.15">
      <c r="B120" s="429"/>
      <c r="C120" s="430"/>
      <c r="D120" s="412" t="s">
        <v>272</v>
      </c>
      <c r="E120" s="413"/>
      <c r="F120" s="346" t="s">
        <v>571</v>
      </c>
      <c r="G120" s="414" t="s">
        <v>302</v>
      </c>
      <c r="H120" s="415"/>
      <c r="I120" s="227" t="s">
        <v>302</v>
      </c>
      <c r="J120" s="227" t="s">
        <v>302</v>
      </c>
      <c r="K120" s="227" t="s">
        <v>302</v>
      </c>
      <c r="L120" s="227" t="s">
        <v>302</v>
      </c>
      <c r="M120" s="348">
        <f>M118-M119</f>
        <v>6.7999999999999972</v>
      </c>
      <c r="N120" s="412" t="s">
        <v>601</v>
      </c>
      <c r="O120" s="413"/>
    </row>
    <row r="121" spans="2:15" s="323" customFormat="1" ht="19.5" customHeight="1" x14ac:dyDescent="0.15">
      <c r="B121" s="454" t="s">
        <v>585</v>
      </c>
      <c r="C121" s="455"/>
      <c r="D121" s="354" t="s">
        <v>613</v>
      </c>
      <c r="E121" s="360" t="str">
        <f>'入力シート（実証技術）'!L15</f>
        <v>焼却(800℃)</v>
      </c>
      <c r="F121" s="230"/>
      <c r="G121" s="291"/>
      <c r="H121" s="292"/>
      <c r="I121" s="292" t="s">
        <v>588</v>
      </c>
      <c r="J121" s="292" t="s">
        <v>589</v>
      </c>
      <c r="K121" s="292" t="s">
        <v>590</v>
      </c>
      <c r="L121" s="292" t="s">
        <v>256</v>
      </c>
      <c r="M121" s="253"/>
      <c r="N121" s="291"/>
      <c r="O121" s="278"/>
    </row>
    <row r="122" spans="2:15" s="293" customFormat="1" ht="35.25" customHeight="1" x14ac:dyDescent="0.15">
      <c r="B122" s="456"/>
      <c r="C122" s="457"/>
      <c r="D122" s="412" t="s">
        <v>259</v>
      </c>
      <c r="E122" s="413"/>
      <c r="F122" s="346" t="s">
        <v>571</v>
      </c>
      <c r="G122" s="414" t="s">
        <v>598</v>
      </c>
      <c r="H122" s="415"/>
      <c r="I122" s="196">
        <f>I27</f>
        <v>6205</v>
      </c>
      <c r="J122" s="218">
        <f>I32</f>
        <v>730</v>
      </c>
      <c r="K122" s="218">
        <f>I33</f>
        <v>1460</v>
      </c>
      <c r="L122" s="248" t="s">
        <v>587</v>
      </c>
      <c r="M122" s="347">
        <f>ROUND(IF(E121="コンポスト",(I122+J122+K122)*$M$109,(I122+J122+K122)*$M$108),1)</f>
        <v>3777.8</v>
      </c>
      <c r="N122" s="273" t="s">
        <v>597</v>
      </c>
      <c r="O122" s="262"/>
    </row>
    <row r="123" spans="2:15" s="293" customFormat="1" ht="35.25" customHeight="1" x14ac:dyDescent="0.15">
      <c r="B123" s="456"/>
      <c r="C123" s="457"/>
      <c r="D123" s="412" t="s">
        <v>267</v>
      </c>
      <c r="E123" s="413"/>
      <c r="F123" s="346" t="s">
        <v>571</v>
      </c>
      <c r="G123" s="414" t="s">
        <v>586</v>
      </c>
      <c r="H123" s="415"/>
      <c r="I123" s="196">
        <f>I72</f>
        <v>4599</v>
      </c>
      <c r="J123" s="227" t="s">
        <v>302</v>
      </c>
      <c r="K123" s="227" t="s">
        <v>302</v>
      </c>
      <c r="L123" s="248" t="s">
        <v>525</v>
      </c>
      <c r="M123" s="347">
        <f>ROUND(IF(E121="コンポスト",(I123)*$M$109,(I123)*$M$108),1)</f>
        <v>2069.6</v>
      </c>
      <c r="N123" s="273" t="s">
        <v>596</v>
      </c>
      <c r="O123" s="262"/>
    </row>
    <row r="124" spans="2:15" s="293" customFormat="1" ht="35.25" customHeight="1" x14ac:dyDescent="0.15">
      <c r="B124" s="458"/>
      <c r="C124" s="459"/>
      <c r="D124" s="412" t="s">
        <v>272</v>
      </c>
      <c r="E124" s="413"/>
      <c r="F124" s="346" t="s">
        <v>571</v>
      </c>
      <c r="G124" s="414" t="s">
        <v>586</v>
      </c>
      <c r="H124" s="415"/>
      <c r="I124" s="227" t="s">
        <v>302</v>
      </c>
      <c r="J124" s="227" t="s">
        <v>302</v>
      </c>
      <c r="K124" s="227" t="s">
        <v>302</v>
      </c>
      <c r="L124" s="227" t="s">
        <v>302</v>
      </c>
      <c r="M124" s="348">
        <f>M122-M123</f>
        <v>1708.2000000000003</v>
      </c>
      <c r="N124" s="352" t="s">
        <v>602</v>
      </c>
      <c r="O124" s="353"/>
    </row>
    <row r="125" spans="2:15" s="334" customFormat="1" ht="27.75" customHeight="1" x14ac:dyDescent="0.15">
      <c r="B125" s="330"/>
      <c r="C125" s="331"/>
      <c r="D125" s="460" t="s">
        <v>599</v>
      </c>
      <c r="E125" s="461"/>
      <c r="F125" s="346" t="s">
        <v>571</v>
      </c>
      <c r="G125" s="226"/>
      <c r="H125" s="227"/>
      <c r="I125" s="227"/>
      <c r="J125" s="227"/>
      <c r="K125" s="227"/>
      <c r="L125" s="227"/>
      <c r="M125" s="355">
        <f>SUM(M117,M120,M124)</f>
        <v>1725.9000000000003</v>
      </c>
      <c r="N125" s="352" t="s">
        <v>603</v>
      </c>
      <c r="O125" s="353"/>
    </row>
    <row r="126" spans="2:15" s="323" customFormat="1" ht="19.5" customHeight="1" x14ac:dyDescent="0.15">
      <c r="B126" s="325"/>
      <c r="C126" s="335"/>
      <c r="D126" s="335"/>
      <c r="E126" s="336"/>
      <c r="F126" s="330"/>
      <c r="G126" s="330"/>
      <c r="H126" s="330"/>
      <c r="I126" s="330"/>
      <c r="J126" s="330"/>
      <c r="K126" s="325"/>
      <c r="L126" s="325"/>
    </row>
    <row r="127" spans="2:15" s="323" customFormat="1" ht="19.5" customHeight="1" x14ac:dyDescent="0.15">
      <c r="B127" s="337"/>
      <c r="C127" s="338"/>
      <c r="D127" s="338"/>
      <c r="E127" s="337"/>
      <c r="F127" s="342"/>
      <c r="G127" s="342"/>
      <c r="H127" s="342"/>
      <c r="I127" s="343"/>
      <c r="J127" s="343"/>
      <c r="K127" s="339"/>
      <c r="L127" s="344"/>
    </row>
    <row r="128" spans="2:15" s="323" customFormat="1" ht="19.5" customHeight="1" x14ac:dyDescent="0.15">
      <c r="B128" s="337"/>
      <c r="C128" s="338"/>
      <c r="D128" s="338"/>
      <c r="E128" s="337"/>
      <c r="F128" s="342"/>
      <c r="G128" s="342"/>
      <c r="H128" s="342"/>
      <c r="I128" s="343"/>
      <c r="J128" s="343"/>
      <c r="K128" s="339"/>
      <c r="L128" s="344"/>
    </row>
    <row r="129" spans="2:15" s="323" customFormat="1" ht="19.5" customHeight="1" x14ac:dyDescent="0.15">
      <c r="B129" s="337"/>
      <c r="C129" s="338"/>
      <c r="D129" s="338"/>
      <c r="E129" s="337"/>
      <c r="F129" s="342"/>
      <c r="G129" s="342"/>
      <c r="H129" s="342"/>
      <c r="I129" s="343"/>
      <c r="J129" s="343"/>
      <c r="K129" s="339"/>
      <c r="L129" s="344"/>
    </row>
    <row r="130" spans="2:15" s="323" customFormat="1" ht="19.5" customHeight="1" x14ac:dyDescent="0.15">
      <c r="B130" s="337"/>
      <c r="C130" s="338"/>
      <c r="D130" s="338"/>
      <c r="E130" s="337"/>
      <c r="F130" s="337"/>
      <c r="G130" s="337"/>
      <c r="H130" s="337"/>
    </row>
    <row r="131" spans="2:15" s="334" customFormat="1" ht="19.5" customHeight="1" x14ac:dyDescent="0.15">
      <c r="B131" s="330"/>
      <c r="C131" s="331"/>
      <c r="D131" s="331"/>
      <c r="E131" s="332"/>
      <c r="F131" s="332"/>
      <c r="G131" s="333"/>
      <c r="H131" s="341"/>
      <c r="I131" s="341"/>
    </row>
    <row r="132" spans="2:15" s="323" customFormat="1" ht="19.5" customHeight="1" x14ac:dyDescent="0.15">
      <c r="B132" s="325"/>
      <c r="C132" s="335"/>
      <c r="D132" s="335"/>
      <c r="E132" s="336"/>
      <c r="F132" s="330"/>
      <c r="G132" s="330"/>
      <c r="H132" s="325"/>
      <c r="I132" s="325"/>
    </row>
    <row r="133" spans="2:15" s="323" customFormat="1" ht="19.5" customHeight="1" x14ac:dyDescent="0.15">
      <c r="B133" s="337"/>
      <c r="C133" s="338"/>
      <c r="D133" s="338"/>
      <c r="E133" s="337"/>
      <c r="F133" s="337"/>
      <c r="G133" s="337"/>
      <c r="H133" s="339"/>
      <c r="I133" s="339"/>
    </row>
    <row r="134" spans="2:15" s="323" customFormat="1" ht="19.5" customHeight="1" x14ac:dyDescent="0.15">
      <c r="B134" s="337"/>
      <c r="C134" s="338"/>
      <c r="D134" s="338"/>
      <c r="E134" s="337"/>
      <c r="F134" s="337"/>
      <c r="G134" s="337"/>
      <c r="H134" s="339"/>
      <c r="I134" s="339"/>
    </row>
    <row r="135" spans="2:15" s="323" customFormat="1" ht="19.5" customHeight="1" x14ac:dyDescent="0.15">
      <c r="B135" s="337"/>
      <c r="C135" s="338"/>
      <c r="D135" s="338"/>
      <c r="E135" s="337"/>
      <c r="F135" s="337"/>
      <c r="G135" s="337"/>
      <c r="H135" s="339"/>
      <c r="I135" s="339"/>
    </row>
    <row r="136" spans="2:15" s="323" customFormat="1" ht="19.5" customHeight="1" x14ac:dyDescent="0.15">
      <c r="B136" s="325"/>
      <c r="C136" s="325"/>
      <c r="D136" s="325"/>
    </row>
    <row r="137" spans="2:15" s="323" customFormat="1" ht="19.5" customHeight="1" x14ac:dyDescent="0.15">
      <c r="B137" s="325"/>
      <c r="C137" s="325"/>
      <c r="D137" s="325"/>
    </row>
    <row r="138" spans="2:15" s="323" customFormat="1" ht="19.5" customHeight="1" x14ac:dyDescent="0.15">
      <c r="B138" s="325"/>
      <c r="C138" s="325"/>
      <c r="D138" s="325"/>
    </row>
    <row r="139" spans="2:15" s="323" customFormat="1" ht="19.5" customHeight="1" x14ac:dyDescent="0.15">
      <c r="B139" s="325"/>
      <c r="C139" s="325"/>
      <c r="D139" s="325"/>
    </row>
    <row r="140" spans="2:15" s="323" customFormat="1" ht="19.5" customHeight="1" x14ac:dyDescent="0.15">
      <c r="B140" s="325"/>
      <c r="C140" s="325"/>
      <c r="D140" s="325"/>
    </row>
    <row r="141" spans="2:15" s="323" customFormat="1" ht="19.5" customHeight="1" x14ac:dyDescent="0.15">
      <c r="B141" s="325"/>
      <c r="C141" s="325"/>
      <c r="D141" s="325"/>
    </row>
    <row r="142" spans="2:15" s="323" customFormat="1" ht="19.5" customHeight="1" x14ac:dyDescent="0.15">
      <c r="B142" s="325"/>
      <c r="C142" s="325"/>
      <c r="D142" s="325"/>
      <c r="L142" s="325"/>
      <c r="M142" s="327"/>
    </row>
    <row r="143" spans="2:15" s="323" customFormat="1" ht="19.5" customHeight="1" x14ac:dyDescent="0.15">
      <c r="B143" s="325"/>
      <c r="C143" s="325"/>
      <c r="D143" s="325"/>
      <c r="L143" s="325"/>
    </row>
    <row r="144" spans="2:15" s="323" customFormat="1" ht="19.5" customHeight="1" x14ac:dyDescent="0.15">
      <c r="B144" s="325"/>
      <c r="C144" s="325"/>
      <c r="D144" s="325"/>
      <c r="L144" s="337"/>
      <c r="N144" s="344"/>
      <c r="O144" s="344"/>
    </row>
    <row r="145" spans="1:15" s="323" customFormat="1" ht="19.5" customHeight="1" x14ac:dyDescent="0.15">
      <c r="B145" s="325"/>
      <c r="C145" s="325"/>
      <c r="D145" s="325"/>
      <c r="L145" s="337"/>
      <c r="N145" s="344"/>
      <c r="O145" s="344"/>
    </row>
    <row r="146" spans="1:15" s="323" customFormat="1" ht="19.5" customHeight="1" x14ac:dyDescent="0.15">
      <c r="B146" s="325"/>
      <c r="C146" s="325"/>
      <c r="D146" s="325"/>
      <c r="L146" s="337"/>
      <c r="N146" s="344"/>
      <c r="O146" s="344"/>
    </row>
    <row r="147" spans="1:15" s="323" customFormat="1" ht="19.5" customHeight="1" x14ac:dyDescent="0.15">
      <c r="B147" s="325"/>
      <c r="C147" s="325"/>
      <c r="D147" s="325"/>
      <c r="L147" s="337"/>
      <c r="N147" s="344"/>
      <c r="O147" s="344"/>
    </row>
    <row r="148" spans="1:15" s="323" customFormat="1" ht="19.5" customHeight="1" x14ac:dyDescent="0.15">
      <c r="B148" s="325"/>
      <c r="C148" s="325"/>
      <c r="D148" s="325"/>
    </row>
    <row r="149" spans="1:15" s="323" customFormat="1" ht="19.5" customHeight="1" x14ac:dyDescent="0.15">
      <c r="B149" s="325"/>
      <c r="C149" s="325"/>
      <c r="D149" s="325"/>
    </row>
    <row r="150" spans="1:15" s="323" customFormat="1" ht="19.5" customHeight="1" x14ac:dyDescent="0.15">
      <c r="B150" s="328"/>
      <c r="C150" s="325"/>
      <c r="D150" s="325"/>
      <c r="E150" s="327"/>
    </row>
    <row r="151" spans="1:15" s="323" customFormat="1" ht="19.5" customHeight="1" x14ac:dyDescent="0.15">
      <c r="B151" s="328"/>
    </row>
    <row r="152" spans="1:15" s="334" customFormat="1" ht="19.5" customHeight="1" x14ac:dyDescent="0.15">
      <c r="A152" s="323"/>
      <c r="B152" s="345"/>
      <c r="C152" s="323"/>
      <c r="D152" s="323"/>
      <c r="E152" s="332"/>
      <c r="F152" s="332"/>
      <c r="G152" s="332"/>
      <c r="H152" s="330"/>
    </row>
    <row r="153" spans="1:15" s="323" customFormat="1" ht="19.5" customHeight="1" x14ac:dyDescent="0.15">
      <c r="A153" s="330"/>
      <c r="B153" s="328"/>
      <c r="C153" s="331"/>
      <c r="D153" s="330"/>
      <c r="E153" s="330"/>
      <c r="F153" s="325"/>
      <c r="G153" s="330"/>
      <c r="H153" s="330"/>
    </row>
    <row r="154" spans="1:15" s="293" customFormat="1" ht="24" x14ac:dyDescent="0.15">
      <c r="B154" s="231"/>
      <c r="M154" s="234"/>
    </row>
    <row r="155" spans="1:15" s="293" customFormat="1" ht="24" x14ac:dyDescent="0.15">
      <c r="B155" s="231"/>
      <c r="M155" s="234"/>
    </row>
    <row r="156" spans="1:15" s="293" customFormat="1" ht="24" x14ac:dyDescent="0.15">
      <c r="B156" s="231"/>
      <c r="M156" s="234"/>
    </row>
    <row r="157" spans="1:15" s="293" customFormat="1" ht="24" x14ac:dyDescent="0.15">
      <c r="B157" s="231"/>
      <c r="M157" s="234"/>
    </row>
    <row r="158" spans="1:15" s="293" customFormat="1" ht="24" x14ac:dyDescent="0.15">
      <c r="B158" s="231"/>
      <c r="M158" s="234"/>
    </row>
    <row r="159" spans="1:15" s="293" customFormat="1" ht="24" x14ac:dyDescent="0.15">
      <c r="B159" s="231"/>
      <c r="M159" s="234"/>
    </row>
    <row r="160" spans="1:15" s="293" customFormat="1" ht="24" x14ac:dyDescent="0.15">
      <c r="B160" s="231"/>
      <c r="M160" s="234"/>
    </row>
    <row r="161" spans="2:13" s="293" customFormat="1" ht="24" x14ac:dyDescent="0.15">
      <c r="B161" s="231"/>
      <c r="M161" s="234"/>
    </row>
    <row r="162" spans="2:13" s="293" customFormat="1" ht="24" x14ac:dyDescent="0.15">
      <c r="B162" s="231"/>
      <c r="M162" s="234"/>
    </row>
    <row r="163" spans="2:13" s="293" customFormat="1" ht="24" x14ac:dyDescent="0.15">
      <c r="B163" s="231"/>
      <c r="M163" s="234"/>
    </row>
    <row r="164" spans="2:13" ht="24" x14ac:dyDescent="0.15">
      <c r="B164" s="231"/>
    </row>
  </sheetData>
  <sheetProtection algorithmName="SHA-512" hashValue="dsJVpBKjcze1s+6Azg5YQcaa0zpu8t++MvsnYHLlRShCfEhST6DbCedRuP0M6UUo5mV69dU8KrpmQi42DA0hJw==" saltValue="9rR+BaH/lGsQ1SNhE/MPQg==" spinCount="100000" sheet="1" objects="1" scenarios="1" selectLockedCells="1"/>
  <mergeCells count="200">
    <mergeCell ref="B121:C124"/>
    <mergeCell ref="D125:E125"/>
    <mergeCell ref="G118:H118"/>
    <mergeCell ref="D119:E119"/>
    <mergeCell ref="G119:H119"/>
    <mergeCell ref="D120:E120"/>
    <mergeCell ref="G120:H120"/>
    <mergeCell ref="N120:O120"/>
    <mergeCell ref="D122:E122"/>
    <mergeCell ref="G122:H122"/>
    <mergeCell ref="D123:E123"/>
    <mergeCell ref="G123:H123"/>
    <mergeCell ref="D124:E124"/>
    <mergeCell ref="G124:H124"/>
    <mergeCell ref="B118:C120"/>
    <mergeCell ref="D118:E118"/>
    <mergeCell ref="D115:E115"/>
    <mergeCell ref="G115:H115"/>
    <mergeCell ref="D116:E116"/>
    <mergeCell ref="G116:H116"/>
    <mergeCell ref="D117:E117"/>
    <mergeCell ref="G117:H117"/>
    <mergeCell ref="N117:O117"/>
    <mergeCell ref="B115:C117"/>
    <mergeCell ref="G113:H113"/>
    <mergeCell ref="I113:L113"/>
    <mergeCell ref="C25:C27"/>
    <mergeCell ref="C41:C45"/>
    <mergeCell ref="G44:H44"/>
    <mergeCell ref="C54:C58"/>
    <mergeCell ref="G54:H54"/>
    <mergeCell ref="C51:C53"/>
    <mergeCell ref="D53:E53"/>
    <mergeCell ref="G53:H53"/>
    <mergeCell ref="N53:O53"/>
    <mergeCell ref="C29:C31"/>
    <mergeCell ref="D29:E29"/>
    <mergeCell ref="G29:H29"/>
    <mergeCell ref="D30:E30"/>
    <mergeCell ref="G30:H30"/>
    <mergeCell ref="D31:E31"/>
    <mergeCell ref="G31:H31"/>
    <mergeCell ref="N31:O31"/>
    <mergeCell ref="C32:C34"/>
    <mergeCell ref="G32:H32"/>
    <mergeCell ref="G33:H33"/>
    <mergeCell ref="G34:H34"/>
    <mergeCell ref="G35:H35"/>
    <mergeCell ref="G56:H56"/>
    <mergeCell ref="J41:J42"/>
    <mergeCell ref="D52:E52"/>
    <mergeCell ref="G52:H52"/>
    <mergeCell ref="D51:E51"/>
    <mergeCell ref="G51:H51"/>
    <mergeCell ref="N44:O44"/>
    <mergeCell ref="G16:H16"/>
    <mergeCell ref="G28:H28"/>
    <mergeCell ref="G41:H41"/>
    <mergeCell ref="G42:H42"/>
    <mergeCell ref="G43:H43"/>
    <mergeCell ref="D18:E18"/>
    <mergeCell ref="G17:H17"/>
    <mergeCell ref="N17:O17"/>
    <mergeCell ref="G18:H18"/>
    <mergeCell ref="L41:L42"/>
    <mergeCell ref="K41:K42"/>
    <mergeCell ref="I41:I42"/>
    <mergeCell ref="N46:O46"/>
    <mergeCell ref="N47:O47"/>
    <mergeCell ref="I46:I47"/>
    <mergeCell ref="J46:J47"/>
    <mergeCell ref="L46:L47"/>
    <mergeCell ref="G50:H50"/>
    <mergeCell ref="C13:C18"/>
    <mergeCell ref="N39:O39"/>
    <mergeCell ref="G40:H40"/>
    <mergeCell ref="D40:E40"/>
    <mergeCell ref="C36:C40"/>
    <mergeCell ref="C19:C23"/>
    <mergeCell ref="G19:H19"/>
    <mergeCell ref="G20:H20"/>
    <mergeCell ref="G21:H21"/>
    <mergeCell ref="G22:H22"/>
    <mergeCell ref="N22:O22"/>
    <mergeCell ref="D23:E23"/>
    <mergeCell ref="G23:H23"/>
    <mergeCell ref="G14:H14"/>
    <mergeCell ref="G24:H24"/>
    <mergeCell ref="J19:J20"/>
    <mergeCell ref="I36:I37"/>
    <mergeCell ref="J36:J37"/>
    <mergeCell ref="K36:K37"/>
    <mergeCell ref="I19:I20"/>
    <mergeCell ref="K19:K20"/>
    <mergeCell ref="L36:L37"/>
    <mergeCell ref="L19:L20"/>
    <mergeCell ref="G15:H15"/>
    <mergeCell ref="G11:H11"/>
    <mergeCell ref="G13:H13"/>
    <mergeCell ref="N15:O15"/>
    <mergeCell ref="I13:I15"/>
    <mergeCell ref="J13:J15"/>
    <mergeCell ref="K13:K15"/>
    <mergeCell ref="L13:L15"/>
    <mergeCell ref="D45:E45"/>
    <mergeCell ref="C46:C50"/>
    <mergeCell ref="G46:H46"/>
    <mergeCell ref="G47:H47"/>
    <mergeCell ref="G48:H48"/>
    <mergeCell ref="G49:H49"/>
    <mergeCell ref="D50:E50"/>
    <mergeCell ref="G39:H39"/>
    <mergeCell ref="G36:H36"/>
    <mergeCell ref="G37:H37"/>
    <mergeCell ref="G38:H38"/>
    <mergeCell ref="I11:L11"/>
    <mergeCell ref="N13:O13"/>
    <mergeCell ref="N14:O14"/>
    <mergeCell ref="G25:H25"/>
    <mergeCell ref="G26:H26"/>
    <mergeCell ref="G27:H27"/>
    <mergeCell ref="N67:O67"/>
    <mergeCell ref="D68:E68"/>
    <mergeCell ref="G68:H68"/>
    <mergeCell ref="I64:I65"/>
    <mergeCell ref="J64:J65"/>
    <mergeCell ref="K64:K65"/>
    <mergeCell ref="L64:L65"/>
    <mergeCell ref="G58:H58"/>
    <mergeCell ref="G69:H69"/>
    <mergeCell ref="N60:O60"/>
    <mergeCell ref="N63:O63"/>
    <mergeCell ref="D63:E63"/>
    <mergeCell ref="G63:H63"/>
    <mergeCell ref="C64:C68"/>
    <mergeCell ref="G64:H64"/>
    <mergeCell ref="G65:H65"/>
    <mergeCell ref="G66:H66"/>
    <mergeCell ref="G67:H67"/>
    <mergeCell ref="C101:E101"/>
    <mergeCell ref="C95:E95"/>
    <mergeCell ref="D100:E100"/>
    <mergeCell ref="G100:H100"/>
    <mergeCell ref="C102:E102"/>
    <mergeCell ref="G101:H101"/>
    <mergeCell ref="D99:E99"/>
    <mergeCell ref="G99:H99"/>
    <mergeCell ref="G94:H94"/>
    <mergeCell ref="I54:I55"/>
    <mergeCell ref="J54:J55"/>
    <mergeCell ref="I91:L91"/>
    <mergeCell ref="I59:I60"/>
    <mergeCell ref="J59:J60"/>
    <mergeCell ref="K59:K60"/>
    <mergeCell ref="B74:D74"/>
    <mergeCell ref="G74:H74"/>
    <mergeCell ref="D93:E93"/>
    <mergeCell ref="G93:H93"/>
    <mergeCell ref="C87:F87"/>
    <mergeCell ref="C78:E78"/>
    <mergeCell ref="C73:D73"/>
    <mergeCell ref="G73:H73"/>
    <mergeCell ref="G59:H59"/>
    <mergeCell ref="G60:H60"/>
    <mergeCell ref="G61:H61"/>
    <mergeCell ref="C70:C72"/>
    <mergeCell ref="G70:H70"/>
    <mergeCell ref="B13:B28"/>
    <mergeCell ref="B29:B35"/>
    <mergeCell ref="B36:B73"/>
    <mergeCell ref="N99:O99"/>
    <mergeCell ref="D97:E97"/>
    <mergeCell ref="G97:H97"/>
    <mergeCell ref="D98:E98"/>
    <mergeCell ref="G98:H98"/>
    <mergeCell ref="K54:K55"/>
    <mergeCell ref="G45:H45"/>
    <mergeCell ref="N49:O49"/>
    <mergeCell ref="N54:O54"/>
    <mergeCell ref="N55:O55"/>
    <mergeCell ref="N58:O58"/>
    <mergeCell ref="N59:O59"/>
    <mergeCell ref="G55:H55"/>
    <mergeCell ref="G57:H57"/>
    <mergeCell ref="N57:O57"/>
    <mergeCell ref="D58:E58"/>
    <mergeCell ref="C59:C63"/>
    <mergeCell ref="G62:H62"/>
    <mergeCell ref="N62:O62"/>
    <mergeCell ref="G71:H71"/>
    <mergeCell ref="G72:H72"/>
    <mergeCell ref="N100:O100"/>
    <mergeCell ref="D96:E96"/>
    <mergeCell ref="G96:H96"/>
    <mergeCell ref="B83:B87"/>
    <mergeCell ref="G78:H78"/>
    <mergeCell ref="G91:H91"/>
    <mergeCell ref="C94:E94"/>
    <mergeCell ref="C82:F82"/>
    <mergeCell ref="B81:B82"/>
  </mergeCells>
  <phoneticPr fontId="2"/>
  <pageMargins left="0.70866141732283472" right="0.70866141732283472" top="0.74803149606299213" bottom="0.74803149606299213" header="0.31496062992125984" footer="0.31496062992125984"/>
  <pageSetup paperSize="8" scale="50" orientation="portrait" r:id="rId1"/>
  <rowBreaks count="1" manualBreakCount="1">
    <brk id="103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24"/>
  <sheetViews>
    <sheetView showGridLines="0" view="pageBreakPreview" zoomScale="75" zoomScaleNormal="96" zoomScaleSheetLayoutView="75" workbookViewId="0">
      <selection activeCell="J14" sqref="J14"/>
    </sheetView>
  </sheetViews>
  <sheetFormatPr defaultRowHeight="13.5" x14ac:dyDescent="0.15"/>
  <cols>
    <col min="2" max="2" width="15.625" customWidth="1"/>
    <col min="3" max="3" width="10.625" customWidth="1"/>
    <col min="6" max="6" width="15.625" customWidth="1"/>
    <col min="7" max="7" width="10.625" customWidth="1"/>
    <col min="9" max="9" width="15.625" customWidth="1"/>
    <col min="10" max="10" width="13.875" customWidth="1"/>
    <col min="11" max="11" width="10.625" customWidth="1"/>
    <col min="13" max="13" width="4.375" customWidth="1"/>
  </cols>
  <sheetData>
    <row r="1" spans="2:10" s="357" customFormat="1" x14ac:dyDescent="0.15">
      <c r="E1" s="357" t="s">
        <v>604</v>
      </c>
    </row>
    <row r="5" spans="2:10" ht="15.95" customHeight="1" x14ac:dyDescent="0.15">
      <c r="B5" s="20"/>
      <c r="C5" s="21"/>
      <c r="F5" s="16"/>
      <c r="G5" s="205"/>
    </row>
    <row r="6" spans="2:10" ht="15.95" customHeight="1" x14ac:dyDescent="0.15"/>
    <row r="7" spans="2:10" ht="15.95" customHeight="1" thickBot="1" x14ac:dyDescent="0.2"/>
    <row r="8" spans="2:10" ht="15.95" customHeight="1" x14ac:dyDescent="0.15">
      <c r="B8" s="462" t="s">
        <v>346</v>
      </c>
      <c r="C8" s="463"/>
      <c r="F8" s="471"/>
      <c r="G8" s="471"/>
    </row>
    <row r="9" spans="2:10" ht="15.95" customHeight="1" thickBot="1" x14ac:dyDescent="0.2">
      <c r="B9" s="464"/>
      <c r="C9" s="465"/>
      <c r="F9" s="195"/>
      <c r="G9" s="195"/>
    </row>
    <row r="10" spans="2:10" ht="15.95" customHeight="1" x14ac:dyDescent="0.15">
      <c r="B10" s="8" t="s">
        <v>10</v>
      </c>
      <c r="C10" s="118">
        <f>C11/C12*100</f>
        <v>145.71428571428569</v>
      </c>
      <c r="F10" s="466"/>
      <c r="G10" s="466"/>
      <c r="I10" s="462" t="s">
        <v>349</v>
      </c>
      <c r="J10" s="468"/>
    </row>
    <row r="11" spans="2:10" ht="15.95" customHeight="1" thickBot="1" x14ac:dyDescent="0.2">
      <c r="B11" s="5" t="s">
        <v>5</v>
      </c>
      <c r="C11" s="120">
        <f>'入力シート（実証技術）'!L21</f>
        <v>5.0999999999999996</v>
      </c>
      <c r="F11" s="467"/>
      <c r="G11" s="467"/>
      <c r="I11" s="469"/>
      <c r="J11" s="470"/>
    </row>
    <row r="12" spans="2:10" ht="15.95" customHeight="1" x14ac:dyDescent="0.15">
      <c r="B12" s="5" t="s">
        <v>6</v>
      </c>
      <c r="C12" s="120">
        <f>'入力シート（実証技術）'!L22</f>
        <v>3.5</v>
      </c>
      <c r="F12" s="133"/>
      <c r="G12" s="225"/>
      <c r="I12" s="4" t="s">
        <v>15</v>
      </c>
      <c r="J12" s="121">
        <f>(J13/(100-J14)*100)</f>
        <v>23.714999999999996</v>
      </c>
    </row>
    <row r="13" spans="2:10" ht="15.95" customHeight="1" thickBot="1" x14ac:dyDescent="0.2">
      <c r="B13" s="7" t="s">
        <v>7</v>
      </c>
      <c r="C13" s="139">
        <f>'入力シート（実証技術）'!L23</f>
        <v>80</v>
      </c>
      <c r="F13" s="16"/>
      <c r="G13" s="146"/>
      <c r="I13" s="5" t="s">
        <v>16</v>
      </c>
      <c r="J13" s="120">
        <f>C11*'入力シート（実証技術）'!L40/100</f>
        <v>4.7429999999999994</v>
      </c>
    </row>
    <row r="14" spans="2:10" ht="15.95" customHeight="1" thickBot="1" x14ac:dyDescent="0.2">
      <c r="B14" s="1"/>
      <c r="C14" s="2"/>
      <c r="F14" s="16"/>
      <c r="G14" s="17"/>
      <c r="H14" t="s">
        <v>356</v>
      </c>
      <c r="I14" s="7" t="s">
        <v>17</v>
      </c>
      <c r="J14" s="123">
        <f>'入力シート（実証技術）'!L38</f>
        <v>80</v>
      </c>
    </row>
    <row r="15" spans="2:10" ht="15.95" customHeight="1" x14ac:dyDescent="0.15">
      <c r="F15" s="16"/>
      <c r="G15" s="17"/>
      <c r="I15" s="126"/>
      <c r="J15" s="127"/>
    </row>
    <row r="16" spans="2:10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</sheetData>
  <sheetProtection algorithmName="SHA-512" hashValue="MvlnPr37XJ+DQElOTNlfkJsZVC6rxOdsb+jwkhzLDOek5ZmAjoPj+wtnJmpEmt3klo99b5worajqVFno91DlIA==" saltValue="S67Tzt0PAxvK5FSjxds//w==" spinCount="100000" sheet="1" objects="1" scenarios="1" selectLockedCells="1" selectUnlockedCells="1"/>
  <mergeCells count="4">
    <mergeCell ref="B8:C9"/>
    <mergeCell ref="F10:G11"/>
    <mergeCell ref="I10:J11"/>
    <mergeCell ref="F8:G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1"/>
  <sheetViews>
    <sheetView showGridLines="0" view="pageBreakPreview" zoomScale="75" zoomScaleNormal="96" zoomScaleSheetLayoutView="75" workbookViewId="0">
      <selection activeCell="H12" sqref="H12"/>
    </sheetView>
  </sheetViews>
  <sheetFormatPr defaultRowHeight="13.5" x14ac:dyDescent="0.15"/>
  <cols>
    <col min="2" max="2" width="15.625" customWidth="1"/>
    <col min="3" max="3" width="10.625" customWidth="1"/>
    <col min="6" max="6" width="15.625" customWidth="1"/>
    <col min="7" max="7" width="10.625" customWidth="1"/>
    <col min="9" max="9" width="15.625" customWidth="1"/>
    <col min="10" max="10" width="13.875" customWidth="1"/>
    <col min="11" max="11" width="10.625" customWidth="1"/>
    <col min="13" max="13" width="4.375" customWidth="1"/>
  </cols>
  <sheetData>
    <row r="1" spans="2:10" s="357" customFormat="1" x14ac:dyDescent="0.15">
      <c r="E1" s="357" t="s">
        <v>605</v>
      </c>
    </row>
    <row r="4" spans="2:10" ht="14.25" thickBot="1" x14ac:dyDescent="0.2"/>
    <row r="5" spans="2:10" ht="15.95" customHeight="1" x14ac:dyDescent="0.15">
      <c r="B5" s="10"/>
      <c r="F5" s="462" t="s">
        <v>338</v>
      </c>
      <c r="G5" s="463"/>
      <c r="I5" s="197"/>
      <c r="J5" s="197"/>
    </row>
    <row r="6" spans="2:10" ht="15.95" customHeight="1" thickBot="1" x14ac:dyDescent="0.2">
      <c r="F6" s="472"/>
      <c r="G6" s="473"/>
      <c r="I6" s="198"/>
      <c r="J6" s="198"/>
    </row>
    <row r="7" spans="2:10" ht="15.95" customHeight="1" x14ac:dyDescent="0.15">
      <c r="F7" s="11" t="s">
        <v>339</v>
      </c>
      <c r="G7" s="129">
        <f>'プログラムシート(中温消化)'!AH38</f>
        <v>2040</v>
      </c>
      <c r="I7" s="20"/>
      <c r="J7" s="199"/>
    </row>
    <row r="8" spans="2:10" ht="15.95" customHeight="1" x14ac:dyDescent="0.15">
      <c r="F8" s="9" t="s">
        <v>340</v>
      </c>
      <c r="G8" s="130">
        <f>'プログラムシート(中温消化)'!AW42</f>
        <v>0</v>
      </c>
      <c r="I8" s="20"/>
      <c r="J8" s="199"/>
    </row>
    <row r="9" spans="2:10" ht="15.95" customHeight="1" thickBot="1" x14ac:dyDescent="0.2">
      <c r="F9" s="7" t="s">
        <v>341</v>
      </c>
      <c r="G9" s="131">
        <f>'プログラムシート(中温消化)'!AW34</f>
        <v>2040</v>
      </c>
    </row>
    <row r="10" spans="2:10" ht="15.95" customHeight="1" x14ac:dyDescent="0.15">
      <c r="B10" s="197"/>
      <c r="C10" s="197"/>
    </row>
    <row r="11" spans="2:10" ht="15.95" customHeight="1" x14ac:dyDescent="0.15">
      <c r="B11" s="198"/>
      <c r="C11" s="198"/>
    </row>
    <row r="12" spans="2:10" ht="15.95" customHeight="1" x14ac:dyDescent="0.15">
      <c r="B12" s="16"/>
      <c r="C12" s="200"/>
    </row>
    <row r="13" spans="2:10" ht="15.95" customHeight="1" x14ac:dyDescent="0.15">
      <c r="B13" s="16"/>
      <c r="C13" s="200"/>
    </row>
    <row r="14" spans="2:10" ht="15.95" customHeight="1" x14ac:dyDescent="0.15">
      <c r="B14" s="16"/>
      <c r="C14" s="17"/>
    </row>
    <row r="15" spans="2:10" ht="15.95" customHeight="1" x14ac:dyDescent="0.15">
      <c r="B15" s="16"/>
      <c r="C15" s="17"/>
    </row>
    <row r="16" spans="2:10" ht="15.95" customHeight="1" thickBot="1" x14ac:dyDescent="0.2"/>
    <row r="17" spans="2:11" ht="15.95" customHeight="1" x14ac:dyDescent="0.15">
      <c r="B17" s="197"/>
      <c r="C17" s="197"/>
      <c r="F17" s="462" t="s">
        <v>342</v>
      </c>
      <c r="G17" s="463"/>
      <c r="J17" s="462" t="s">
        <v>343</v>
      </c>
      <c r="K17" s="463"/>
    </row>
    <row r="18" spans="2:11" ht="15.95" customHeight="1" thickBot="1" x14ac:dyDescent="0.2">
      <c r="B18" s="198"/>
      <c r="C18" s="198"/>
      <c r="F18" s="474"/>
      <c r="G18" s="475"/>
      <c r="J18" s="474"/>
      <c r="K18" s="475"/>
    </row>
    <row r="19" spans="2:11" ht="15.95" customHeight="1" x14ac:dyDescent="0.15">
      <c r="B19" s="20"/>
      <c r="C19" s="201"/>
      <c r="F19" s="8" t="s">
        <v>20</v>
      </c>
      <c r="G19" s="121">
        <f>G8</f>
        <v>0</v>
      </c>
      <c r="J19" s="8" t="s">
        <v>20</v>
      </c>
      <c r="K19" s="202">
        <f>'プログラムシート(中温消化)'!AW34</f>
        <v>2040</v>
      </c>
    </row>
    <row r="20" spans="2:11" ht="15.95" customHeight="1" x14ac:dyDescent="0.15">
      <c r="B20" s="20"/>
      <c r="C20" s="203"/>
      <c r="F20" s="22" t="s">
        <v>344</v>
      </c>
      <c r="G20" s="122">
        <f>'プログラムシート(中温消化)'!AW43</f>
        <v>11100</v>
      </c>
      <c r="J20" s="22" t="s">
        <v>99</v>
      </c>
      <c r="K20" s="204">
        <f>'プログラムシート(中温消化)'!AW35</f>
        <v>161.6888888888889</v>
      </c>
    </row>
    <row r="21" spans="2:11" ht="15.95" customHeight="1" thickBot="1" x14ac:dyDescent="0.2">
      <c r="B21" s="20"/>
      <c r="C21" s="21"/>
      <c r="F21" s="15" t="s">
        <v>345</v>
      </c>
      <c r="G21" s="14">
        <f>'プログラムシート(中温消化)'!AX44*100</f>
        <v>85</v>
      </c>
      <c r="J21" s="15" t="s">
        <v>100</v>
      </c>
      <c r="K21" s="14">
        <f>'プログラムシート(中温消化)'!AX36*100</f>
        <v>32</v>
      </c>
    </row>
    <row r="22" spans="2:11" ht="15.95" customHeight="1" x14ac:dyDescent="0.15">
      <c r="B22" s="20"/>
      <c r="C22" s="21"/>
      <c r="F22" s="16"/>
      <c r="G22" s="205"/>
    </row>
    <row r="23" spans="2:11" ht="15.95" customHeight="1" x14ac:dyDescent="0.15"/>
    <row r="24" spans="2:11" ht="15.95" customHeight="1" thickBot="1" x14ac:dyDescent="0.2"/>
    <row r="25" spans="2:11" ht="15.95" customHeight="1" x14ac:dyDescent="0.15">
      <c r="B25" s="462" t="s">
        <v>346</v>
      </c>
      <c r="C25" s="463"/>
      <c r="F25" s="471"/>
      <c r="G25" s="471"/>
    </row>
    <row r="26" spans="2:11" ht="15.95" customHeight="1" thickBot="1" x14ac:dyDescent="0.2">
      <c r="B26" s="464"/>
      <c r="C26" s="465"/>
      <c r="F26" s="3"/>
      <c r="G26" s="3"/>
    </row>
    <row r="27" spans="2:11" ht="15.95" customHeight="1" x14ac:dyDescent="0.15">
      <c r="B27" s="8" t="s">
        <v>347</v>
      </c>
      <c r="C27" s="118">
        <f>'プログラムシート(中温消化)'!W7</f>
        <v>145.69999999999999</v>
      </c>
      <c r="F27" s="462" t="s">
        <v>348</v>
      </c>
      <c r="G27" s="463"/>
      <c r="I27" s="462" t="s">
        <v>349</v>
      </c>
      <c r="J27" s="468"/>
    </row>
    <row r="28" spans="2:11" ht="15.95" customHeight="1" thickBot="1" x14ac:dyDescent="0.2">
      <c r="B28" s="5" t="s">
        <v>350</v>
      </c>
      <c r="C28" s="120">
        <f>'プログラムシート(中温消化)'!W8</f>
        <v>5.0999999999999996</v>
      </c>
      <c r="F28" s="472"/>
      <c r="G28" s="473"/>
      <c r="I28" s="469"/>
      <c r="J28" s="470"/>
    </row>
    <row r="29" spans="2:11" ht="15.95" customHeight="1" x14ac:dyDescent="0.15">
      <c r="B29" s="5" t="s">
        <v>351</v>
      </c>
      <c r="C29" s="13">
        <f>'プログラムシート(中温消化)'!W9</f>
        <v>3.5</v>
      </c>
      <c r="F29" s="8" t="s">
        <v>19</v>
      </c>
      <c r="G29" s="118">
        <f>'プログラムシート(中温消化)'!AD46</f>
        <v>145.69999999999999</v>
      </c>
      <c r="I29" s="4" t="s">
        <v>15</v>
      </c>
      <c r="J29" s="121">
        <f>'プログラムシート(中温消化)'!AD62</f>
        <v>17</v>
      </c>
    </row>
    <row r="30" spans="2:11" ht="15.95" customHeight="1" thickBot="1" x14ac:dyDescent="0.2">
      <c r="B30" s="7" t="s">
        <v>352</v>
      </c>
      <c r="C30" s="14">
        <f>'プログラムシート(中温消化)'!W10</f>
        <v>80</v>
      </c>
      <c r="F30" s="5" t="s">
        <v>353</v>
      </c>
      <c r="G30" s="120">
        <f>'プログラムシート(中温消化)'!AD47</f>
        <v>3.0599999999999996</v>
      </c>
      <c r="I30" s="5" t="s">
        <v>354</v>
      </c>
      <c r="J30" s="120">
        <f>'プログラムシート(中温消化)'!AD63</f>
        <v>3.0599999999999996</v>
      </c>
    </row>
    <row r="31" spans="2:11" ht="15.95" customHeight="1" thickBot="1" x14ac:dyDescent="0.2">
      <c r="B31" s="1"/>
      <c r="C31" s="2"/>
      <c r="F31" s="5" t="s">
        <v>355</v>
      </c>
      <c r="G31" s="13">
        <f>'プログラムシート(中温消化)'!AD48</f>
        <v>2.1002059025394644</v>
      </c>
      <c r="H31" t="s">
        <v>356</v>
      </c>
      <c r="I31" s="7" t="s">
        <v>357</v>
      </c>
      <c r="J31" s="123">
        <f>100-'プログラムシート(中温消化)'!AD64</f>
        <v>82</v>
      </c>
    </row>
    <row r="32" spans="2:11" ht="15.95" customHeight="1" thickBot="1" x14ac:dyDescent="0.2">
      <c r="F32" s="7" t="s">
        <v>358</v>
      </c>
      <c r="G32" s="14">
        <f>'プログラムシート(中温消化)'!AD49</f>
        <v>66.666666666666671</v>
      </c>
      <c r="I32" s="126"/>
      <c r="J32" s="127"/>
    </row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sheetProtection algorithmName="SHA-512" hashValue="L6owoyRSk5UvsigQtaYjqDXyH1HXTJbeIwtECRVzWuiqaLKL0tGW1svjIYCum2xpUE0N7L0ENPMzBJn56y1duw==" saltValue="ITxfL1IuEZdjHLZQ/bFQbg==" spinCount="100000" sheet="1" objects="1" scenarios="1" selectLockedCells="1" selectUnlockedCells="1"/>
  <mergeCells count="7">
    <mergeCell ref="F5:G6"/>
    <mergeCell ref="F27:G28"/>
    <mergeCell ref="I27:J28"/>
    <mergeCell ref="B25:C26"/>
    <mergeCell ref="F25:G25"/>
    <mergeCell ref="J17:K18"/>
    <mergeCell ref="F17:G1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34"/>
  <sheetViews>
    <sheetView showGridLines="0" view="pageBreakPreview" zoomScale="75" zoomScaleNormal="96" zoomScaleSheetLayoutView="75" workbookViewId="0">
      <selection activeCell="K23" sqref="K23"/>
    </sheetView>
  </sheetViews>
  <sheetFormatPr defaultRowHeight="13.5" x14ac:dyDescent="0.15"/>
  <cols>
    <col min="1" max="1" width="9" customWidth="1"/>
    <col min="2" max="2" width="15.625" customWidth="1"/>
    <col min="3" max="3" width="10.625" customWidth="1"/>
    <col min="6" max="6" width="18.5" customWidth="1"/>
    <col min="7" max="7" width="10.625" customWidth="1"/>
    <col min="9" max="9" width="11.5" customWidth="1"/>
    <col min="10" max="10" width="14.5" customWidth="1"/>
    <col min="11" max="11" width="10.625" customWidth="1"/>
    <col min="13" max="13" width="4.375" customWidth="1"/>
  </cols>
  <sheetData>
    <row r="1" spans="2:11" s="357" customFormat="1" x14ac:dyDescent="0.15">
      <c r="E1" s="357" t="s">
        <v>606</v>
      </c>
    </row>
    <row r="3" spans="2:11" ht="15.95" customHeight="1" thickBot="1" x14ac:dyDescent="0.2">
      <c r="B3" s="10"/>
      <c r="H3" s="150"/>
      <c r="I3" s="150"/>
      <c r="J3" s="150"/>
    </row>
    <row r="4" spans="2:11" ht="15.95" customHeight="1" x14ac:dyDescent="0.15">
      <c r="F4" s="462" t="s">
        <v>432</v>
      </c>
      <c r="G4" s="463"/>
      <c r="H4" s="150"/>
      <c r="J4" s="462" t="s">
        <v>433</v>
      </c>
      <c r="K4" s="468"/>
    </row>
    <row r="5" spans="2:11" ht="15.95" customHeight="1" thickBot="1" x14ac:dyDescent="0.2">
      <c r="F5" s="474"/>
      <c r="G5" s="475"/>
      <c r="H5" s="150"/>
      <c r="J5" s="469"/>
      <c r="K5" s="470"/>
    </row>
    <row r="6" spans="2:11" ht="15.95" customHeight="1" thickBot="1" x14ac:dyDescent="0.2">
      <c r="F6" s="213" t="s">
        <v>434</v>
      </c>
      <c r="G6" s="214">
        <f>'プログラムシート(中温消化)'!AW43</f>
        <v>11100</v>
      </c>
      <c r="J6" s="8" t="s">
        <v>435</v>
      </c>
      <c r="K6" s="202">
        <f>'プログラムシート(中温消化)'!AX37*100</f>
        <v>38</v>
      </c>
    </row>
    <row r="7" spans="2:11" ht="15.95" customHeight="1" x14ac:dyDescent="0.15">
      <c r="H7" s="150"/>
      <c r="J7" s="11" t="s">
        <v>192</v>
      </c>
      <c r="K7" s="152" t="s">
        <v>436</v>
      </c>
    </row>
    <row r="8" spans="2:11" ht="15.95" customHeight="1" thickBot="1" x14ac:dyDescent="0.2">
      <c r="B8" s="197"/>
      <c r="C8" s="197"/>
      <c r="J8" s="15" t="s">
        <v>437</v>
      </c>
      <c r="K8" s="215">
        <f>'プログラムシート(中温消化)'!AW38</f>
        <v>16589</v>
      </c>
    </row>
    <row r="9" spans="2:11" ht="15.95" customHeight="1" x14ac:dyDescent="0.15">
      <c r="B9" s="16"/>
      <c r="C9" s="200"/>
    </row>
    <row r="10" spans="2:11" ht="15.95" customHeight="1" x14ac:dyDescent="0.15">
      <c r="B10" s="16"/>
      <c r="C10" s="200"/>
    </row>
    <row r="11" spans="2:11" ht="15.95" customHeight="1" x14ac:dyDescent="0.15">
      <c r="B11" s="16"/>
      <c r="C11" s="17"/>
    </row>
    <row r="12" spans="2:11" ht="15.95" customHeight="1" x14ac:dyDescent="0.15">
      <c r="B12" s="16"/>
      <c r="C12" s="17"/>
    </row>
    <row r="13" spans="2:11" ht="15.95" customHeight="1" x14ac:dyDescent="0.15"/>
    <row r="14" spans="2:11" ht="15.95" customHeight="1" x14ac:dyDescent="0.15">
      <c r="B14" s="20"/>
      <c r="C14" s="21"/>
    </row>
    <row r="15" spans="2:11" ht="15.95" customHeight="1" x14ac:dyDescent="0.15">
      <c r="B15" s="20"/>
      <c r="C15" s="21"/>
      <c r="F15" s="16"/>
      <c r="G15" s="205"/>
    </row>
    <row r="16" spans="2:11" ht="15.95" customHeight="1" x14ac:dyDescent="0.15"/>
    <row r="17" spans="2:8" ht="15.95" customHeight="1" thickBot="1" x14ac:dyDescent="0.2"/>
    <row r="18" spans="2:8" ht="15.95" customHeight="1" x14ac:dyDescent="0.15">
      <c r="B18" s="462" t="s">
        <v>438</v>
      </c>
      <c r="C18" s="463"/>
      <c r="F18" s="471"/>
      <c r="G18" s="471"/>
    </row>
    <row r="19" spans="2:8" ht="15.95" customHeight="1" thickBot="1" x14ac:dyDescent="0.2">
      <c r="B19" s="464"/>
      <c r="C19" s="465"/>
      <c r="F19" s="3"/>
      <c r="G19" s="3"/>
    </row>
    <row r="20" spans="2:8" ht="15.95" customHeight="1" x14ac:dyDescent="0.15">
      <c r="B20" s="8" t="s">
        <v>347</v>
      </c>
      <c r="C20" s="118">
        <f>'プログラムシート(中温消化)'!W7</f>
        <v>145.69999999999999</v>
      </c>
      <c r="F20" s="462" t="s">
        <v>439</v>
      </c>
      <c r="G20" s="463"/>
    </row>
    <row r="21" spans="2:8" ht="15.95" customHeight="1" thickBot="1" x14ac:dyDescent="0.2">
      <c r="B21" s="9" t="s">
        <v>183</v>
      </c>
      <c r="C21" s="135">
        <f>'プログラムシート(中温消化)'!AC29</f>
        <v>23</v>
      </c>
      <c r="F21" s="472"/>
      <c r="G21" s="473"/>
    </row>
    <row r="22" spans="2:8" ht="15.95" customHeight="1" x14ac:dyDescent="0.15">
      <c r="B22" s="216"/>
      <c r="C22" s="216"/>
      <c r="F22" s="8" t="s">
        <v>19</v>
      </c>
      <c r="G22" s="121">
        <f>'プログラムシート(中温消化)'!AD46</f>
        <v>145.69999999999999</v>
      </c>
    </row>
    <row r="23" spans="2:8" ht="15.95" customHeight="1" x14ac:dyDescent="0.15">
      <c r="B23" s="137"/>
      <c r="C23" s="138"/>
      <c r="F23" s="9" t="s">
        <v>183</v>
      </c>
      <c r="G23" s="135">
        <f>'プログラムシート(中温消化)'!X33</f>
        <v>37</v>
      </c>
    </row>
    <row r="24" spans="2:8" ht="15.95" customHeight="1" thickBot="1" x14ac:dyDescent="0.2">
      <c r="B24" s="142"/>
      <c r="C24" s="142"/>
      <c r="F24" s="9" t="s">
        <v>610</v>
      </c>
      <c r="G24" s="122">
        <f>'プログラムシート(中温消化)'!AS47</f>
        <v>11100</v>
      </c>
      <c r="H24" t="s">
        <v>440</v>
      </c>
    </row>
    <row r="25" spans="2:8" ht="15.95" customHeight="1" x14ac:dyDescent="0.15">
      <c r="F25" s="126"/>
      <c r="G25" s="136"/>
    </row>
    <row r="26" spans="2:8" ht="15.95" customHeight="1" x14ac:dyDescent="0.15">
      <c r="F26" s="142"/>
    </row>
    <row r="27" spans="2:8" ht="15.95" customHeight="1" x14ac:dyDescent="0.15"/>
    <row r="28" spans="2:8" ht="15.95" customHeight="1" x14ac:dyDescent="0.15"/>
    <row r="29" spans="2:8" ht="15.95" customHeight="1" x14ac:dyDescent="0.15"/>
    <row r="30" spans="2:8" ht="15.95" customHeight="1" x14ac:dyDescent="0.15"/>
    <row r="31" spans="2:8" ht="15.95" customHeight="1" x14ac:dyDescent="0.15"/>
    <row r="32" spans="2:8" ht="15.95" customHeight="1" x14ac:dyDescent="0.15"/>
    <row r="33" ht="15.95" customHeight="1" x14ac:dyDescent="0.15"/>
    <row r="34" ht="15.95" customHeight="1" x14ac:dyDescent="0.15"/>
  </sheetData>
  <sheetProtection algorithmName="SHA-512" hashValue="ld6nBEsZAl/A7TD2hlZfVToiByMZXQr1UYEztm8nZAbwECrQfVwkMzoLZXPwD2+PhCVkQ4XyQIybUv2uZM/qQQ==" saltValue="O+2XuZeINcaM/Usn8M18xQ==" spinCount="100000" sheet="1" objects="1" scenarios="1" selectLockedCells="1" selectUnlockedCells="1"/>
  <mergeCells count="5">
    <mergeCell ref="F4:G5"/>
    <mergeCell ref="J4:K5"/>
    <mergeCell ref="B18:C19"/>
    <mergeCell ref="F18:G18"/>
    <mergeCell ref="F20:G2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0"/>
  <sheetViews>
    <sheetView showGridLines="0" view="pageBreakPreview" zoomScale="75" zoomScaleNormal="96" zoomScaleSheetLayoutView="75" workbookViewId="0">
      <selection activeCell="Q23" sqref="Q23"/>
    </sheetView>
  </sheetViews>
  <sheetFormatPr defaultRowHeight="13.5" x14ac:dyDescent="0.15"/>
  <cols>
    <col min="2" max="2" width="15.625" customWidth="1"/>
    <col min="3" max="3" width="10.625" customWidth="1"/>
    <col min="6" max="6" width="15.625" customWidth="1"/>
    <col min="7" max="7" width="10.625" customWidth="1"/>
    <col min="9" max="9" width="15.625" customWidth="1"/>
    <col min="10" max="10" width="12.625" customWidth="1"/>
    <col min="11" max="11" width="10.625" customWidth="1"/>
    <col min="13" max="13" width="2.375" customWidth="1"/>
  </cols>
  <sheetData>
    <row r="1" spans="2:11" s="357" customFormat="1" x14ac:dyDescent="0.15">
      <c r="E1" s="357" t="s">
        <v>607</v>
      </c>
    </row>
    <row r="2" spans="2:11" ht="14.25" thickBot="1" x14ac:dyDescent="0.2"/>
    <row r="3" spans="2:11" ht="16.5" x14ac:dyDescent="0.15">
      <c r="B3" s="482"/>
      <c r="C3" s="482"/>
      <c r="F3" s="462" t="s">
        <v>109</v>
      </c>
      <c r="G3" s="468"/>
    </row>
    <row r="4" spans="2:11" ht="15.95" customHeight="1" thickBot="1" x14ac:dyDescent="0.2">
      <c r="B4" s="10"/>
      <c r="F4" s="469"/>
      <c r="G4" s="470"/>
      <c r="I4" s="466"/>
      <c r="J4" s="466"/>
    </row>
    <row r="5" spans="2:11" ht="15.95" customHeight="1" x14ac:dyDescent="0.15">
      <c r="F5" s="11" t="s">
        <v>8</v>
      </c>
      <c r="G5" s="129">
        <f>プログラムシート!AH38</f>
        <v>2686.8247575</v>
      </c>
      <c r="I5" s="467"/>
      <c r="J5" s="467"/>
    </row>
    <row r="6" spans="2:11" ht="15.95" customHeight="1" x14ac:dyDescent="0.15">
      <c r="F6" s="9" t="s">
        <v>9</v>
      </c>
      <c r="G6" s="130">
        <f>プログラムシート!AW42</f>
        <v>616.65750412314458</v>
      </c>
      <c r="I6" s="133"/>
      <c r="J6" s="134"/>
    </row>
    <row r="7" spans="2:11" ht="15.95" customHeight="1" thickBot="1" x14ac:dyDescent="0.2">
      <c r="F7" s="15" t="s">
        <v>101</v>
      </c>
      <c r="G7" s="131">
        <f>プログラムシート!AW26</f>
        <v>2070.1672533768556</v>
      </c>
      <c r="I7" s="133"/>
      <c r="J7" s="134"/>
    </row>
    <row r="8" spans="2:11" ht="15.95" customHeight="1" thickBot="1" x14ac:dyDescent="0.2"/>
    <row r="9" spans="2:11" ht="15.95" customHeight="1" x14ac:dyDescent="0.15">
      <c r="B9" s="462" t="s">
        <v>180</v>
      </c>
      <c r="C9" s="463"/>
    </row>
    <row r="10" spans="2:11" ht="15.95" customHeight="1" thickBot="1" x14ac:dyDescent="0.2">
      <c r="B10" s="487"/>
      <c r="C10" s="488"/>
    </row>
    <row r="11" spans="2:11" ht="15.95" customHeight="1" x14ac:dyDescent="0.15">
      <c r="B11" s="4" t="s">
        <v>102</v>
      </c>
      <c r="C11" s="121">
        <f>プログラムシート!K7</f>
        <v>4</v>
      </c>
      <c r="J11" s="462" t="s">
        <v>108</v>
      </c>
      <c r="K11" s="484"/>
    </row>
    <row r="12" spans="2:11" ht="15.95" customHeight="1" thickBot="1" x14ac:dyDescent="0.2">
      <c r="B12" s="5" t="s">
        <v>1</v>
      </c>
      <c r="C12" s="6">
        <f>プログラムシート!K8</f>
        <v>0.6</v>
      </c>
      <c r="J12" s="485"/>
      <c r="K12" s="486"/>
    </row>
    <row r="13" spans="2:11" ht="15.95" customHeight="1" x14ac:dyDescent="0.15">
      <c r="B13" s="5" t="s">
        <v>2</v>
      </c>
      <c r="C13" s="13">
        <f>プログラムシート!K9</f>
        <v>15</v>
      </c>
      <c r="J13" s="8" t="s">
        <v>20</v>
      </c>
      <c r="K13" s="132">
        <f>プログラムシート!AW26</f>
        <v>2070.1672533768556</v>
      </c>
    </row>
    <row r="14" spans="2:11" ht="15.95" customHeight="1" thickBot="1" x14ac:dyDescent="0.2">
      <c r="B14" s="7" t="s">
        <v>3</v>
      </c>
      <c r="C14" s="14">
        <f>プログラムシート!K10</f>
        <v>80</v>
      </c>
      <c r="J14" s="124" t="s">
        <v>99</v>
      </c>
      <c r="K14" s="125">
        <f>プログラムシート!AW27</f>
        <v>164.07992304542483</v>
      </c>
    </row>
    <row r="15" spans="2:11" ht="15.95" customHeight="1" thickBot="1" x14ac:dyDescent="0.2">
      <c r="J15" s="18" t="s">
        <v>100</v>
      </c>
      <c r="K15" s="19">
        <f>プログラムシート!AX28*100</f>
        <v>32</v>
      </c>
    </row>
    <row r="16" spans="2:11" ht="15.95" customHeight="1" x14ac:dyDescent="0.15">
      <c r="B16" s="462" t="s">
        <v>105</v>
      </c>
      <c r="C16" s="463"/>
      <c r="F16" s="462" t="s">
        <v>107</v>
      </c>
      <c r="G16" s="463"/>
      <c r="J16" s="197"/>
      <c r="K16" s="197"/>
    </row>
    <row r="17" spans="2:11" ht="15.95" customHeight="1" thickBot="1" x14ac:dyDescent="0.2">
      <c r="B17" s="472"/>
      <c r="C17" s="473"/>
      <c r="F17" s="474"/>
      <c r="G17" s="475"/>
      <c r="J17" s="466"/>
      <c r="K17" s="483"/>
    </row>
    <row r="18" spans="2:11" ht="15.95" customHeight="1" x14ac:dyDescent="0.15">
      <c r="B18" s="4" t="s">
        <v>4</v>
      </c>
      <c r="C18" s="128">
        <f>プログラムシート!AY14</f>
        <v>2</v>
      </c>
      <c r="F18" s="8" t="s">
        <v>11</v>
      </c>
      <c r="G18" s="119">
        <f>プログラムシート!S43</f>
        <v>18.538181818181815</v>
      </c>
      <c r="J18" s="483"/>
      <c r="K18" s="483"/>
    </row>
    <row r="19" spans="2:11" ht="15.95" customHeight="1" x14ac:dyDescent="0.15">
      <c r="B19" s="5" t="s">
        <v>1</v>
      </c>
      <c r="C19" s="12">
        <f>プログラムシート!AY15</f>
        <v>0.3</v>
      </c>
      <c r="F19" s="5" t="s">
        <v>12</v>
      </c>
      <c r="G19" s="120">
        <f>プログラムシート!S44</f>
        <v>2.7929999999999997</v>
      </c>
      <c r="J19" s="133"/>
      <c r="K19" s="143"/>
    </row>
    <row r="20" spans="2:11" ht="15.95" customHeight="1" x14ac:dyDescent="0.15">
      <c r="B20" s="5" t="s">
        <v>2</v>
      </c>
      <c r="C20" s="13">
        <f>プログラムシート!AY16</f>
        <v>15</v>
      </c>
      <c r="F20" s="5" t="s">
        <v>13</v>
      </c>
      <c r="G20" s="13">
        <f>プログラムシート!S45</f>
        <v>15.066202432326403</v>
      </c>
      <c r="J20" s="20"/>
      <c r="K20" s="144"/>
    </row>
    <row r="21" spans="2:11" ht="15.95" customHeight="1" thickBot="1" x14ac:dyDescent="0.2">
      <c r="B21" s="7" t="s">
        <v>3</v>
      </c>
      <c r="C21" s="14">
        <f>プログラムシート!AY17</f>
        <v>90</v>
      </c>
      <c r="F21" s="7" t="s">
        <v>14</v>
      </c>
      <c r="G21" s="14">
        <f>プログラムシート!S46</f>
        <v>66.573469387755097</v>
      </c>
      <c r="J21" s="20"/>
      <c r="K21" s="21"/>
    </row>
    <row r="22" spans="2:11" ht="15.95" customHeight="1" x14ac:dyDescent="0.15"/>
    <row r="23" spans="2:11" ht="15.95" customHeight="1" thickBot="1" x14ac:dyDescent="0.2"/>
    <row r="24" spans="2:11" ht="15.95" customHeight="1" x14ac:dyDescent="0.15">
      <c r="B24" s="462" t="s">
        <v>106</v>
      </c>
      <c r="C24" s="463"/>
      <c r="F24" s="471"/>
      <c r="G24" s="471"/>
    </row>
    <row r="25" spans="2:11" ht="15.95" customHeight="1" thickBot="1" x14ac:dyDescent="0.2">
      <c r="B25" s="464"/>
      <c r="C25" s="465"/>
      <c r="F25" s="3"/>
      <c r="G25" s="3"/>
    </row>
    <row r="26" spans="2:11" ht="15.95" customHeight="1" x14ac:dyDescent="0.15">
      <c r="B26" s="8" t="s">
        <v>10</v>
      </c>
      <c r="C26" s="118">
        <f>プログラムシート!W7</f>
        <v>145.69999999999999</v>
      </c>
      <c r="F26" s="462" t="s">
        <v>110</v>
      </c>
      <c r="G26" s="463"/>
      <c r="I26" s="462" t="s">
        <v>103</v>
      </c>
      <c r="J26" s="479"/>
    </row>
    <row r="27" spans="2:11" ht="15.95" customHeight="1" thickBot="1" x14ac:dyDescent="0.2">
      <c r="B27" s="5" t="s">
        <v>5</v>
      </c>
      <c r="C27" s="120">
        <f>プログラムシート!W8</f>
        <v>5.0999999999999996</v>
      </c>
      <c r="F27" s="472"/>
      <c r="G27" s="473"/>
      <c r="I27" s="480"/>
      <c r="J27" s="481"/>
    </row>
    <row r="28" spans="2:11" ht="15.95" customHeight="1" x14ac:dyDescent="0.15">
      <c r="B28" s="5" t="s">
        <v>6</v>
      </c>
      <c r="C28" s="13">
        <f>プログラムシート!W9</f>
        <v>3.5</v>
      </c>
      <c r="F28" s="8" t="s">
        <v>104</v>
      </c>
      <c r="G28" s="121">
        <f>プログラムシート!AD46</f>
        <v>168.2381818181818</v>
      </c>
      <c r="I28" s="4" t="s">
        <v>15</v>
      </c>
      <c r="J28" s="121">
        <f>プログラムシート!AD60</f>
        <v>22.594768457727273</v>
      </c>
    </row>
    <row r="29" spans="2:11" ht="15.95" customHeight="1" thickBot="1" x14ac:dyDescent="0.2">
      <c r="B29" s="7" t="s">
        <v>7</v>
      </c>
      <c r="C29" s="14">
        <f>プログラムシート!W10</f>
        <v>80</v>
      </c>
      <c r="F29" s="5" t="s">
        <v>12</v>
      </c>
      <c r="G29" s="120">
        <f>プログラムシート!AD47</f>
        <v>5.3449989899999997</v>
      </c>
      <c r="I29" s="5" t="s">
        <v>16</v>
      </c>
      <c r="J29" s="120">
        <f>プログラムシート!AD61</f>
        <v>4.9708490607</v>
      </c>
    </row>
    <row r="30" spans="2:11" ht="15.95" customHeight="1" thickBot="1" x14ac:dyDescent="0.2">
      <c r="B30" s="1"/>
      <c r="C30" s="2"/>
      <c r="F30" s="5" t="s">
        <v>13</v>
      </c>
      <c r="G30" s="13">
        <f>プログラムシート!AD48</f>
        <v>3.177042768909879</v>
      </c>
      <c r="H30" t="s">
        <v>0</v>
      </c>
      <c r="I30" s="7" t="s">
        <v>17</v>
      </c>
      <c r="J30" s="14">
        <f>100-プログラムシート!AD62</f>
        <v>78</v>
      </c>
    </row>
    <row r="31" spans="2:11" ht="15.95" customHeight="1" thickBot="1" x14ac:dyDescent="0.2">
      <c r="F31" s="7" t="s">
        <v>14</v>
      </c>
      <c r="G31" s="14">
        <f>プログラムシート!AD49</f>
        <v>62.88861787044042</v>
      </c>
    </row>
    <row r="32" spans="2:11" ht="15.95" customHeight="1" x14ac:dyDescent="0.15">
      <c r="I32" s="462" t="s">
        <v>18</v>
      </c>
      <c r="J32" s="476"/>
    </row>
    <row r="33" spans="9:10" ht="15.95" customHeight="1" thickBot="1" x14ac:dyDescent="0.2">
      <c r="I33" s="477"/>
      <c r="J33" s="478"/>
    </row>
    <row r="34" spans="9:10" ht="15.95" customHeight="1" x14ac:dyDescent="0.15">
      <c r="I34" s="4" t="s">
        <v>15</v>
      </c>
      <c r="J34" s="121">
        <f>プログラムシート!AD66</f>
        <v>12.626586639545456</v>
      </c>
    </row>
    <row r="35" spans="9:10" ht="15.95" customHeight="1" x14ac:dyDescent="0.15">
      <c r="I35" s="5" t="s">
        <v>16</v>
      </c>
      <c r="J35" s="120">
        <f>プログラムシート!AD67</f>
        <v>2.7778490607000004</v>
      </c>
    </row>
    <row r="36" spans="9:10" ht="15.95" customHeight="1" thickBot="1" x14ac:dyDescent="0.2">
      <c r="I36" s="7" t="s">
        <v>17</v>
      </c>
      <c r="J36" s="123">
        <f>100-プログラムシート!AD68</f>
        <v>78</v>
      </c>
    </row>
    <row r="37" spans="9:10" ht="15.95" customHeight="1" x14ac:dyDescent="0.15">
      <c r="I37" s="126"/>
      <c r="J37" s="127"/>
    </row>
    <row r="38" spans="9:10" ht="15.95" customHeight="1" x14ac:dyDescent="0.15"/>
    <row r="39" spans="9:10" ht="15.95" customHeight="1" x14ac:dyDescent="0.15"/>
    <row r="40" spans="9:10" ht="15.95" customHeight="1" x14ac:dyDescent="0.15"/>
  </sheetData>
  <sheetProtection algorithmName="SHA-512" hashValue="Cwipd1odR/yIkg7PRovXuNwHNxqXFqrSEZi6frJQlzWut9t8UI1Slfp+dPXajv/xWSQey18s8zyzzQVEMPUPQA==" saltValue="4bh3NX/0zdODykjWNxTv3Q==" spinCount="100000" sheet="1" objects="1" scenarios="1"/>
  <mergeCells count="13">
    <mergeCell ref="B3:C3"/>
    <mergeCell ref="F3:G4"/>
    <mergeCell ref="B16:C17"/>
    <mergeCell ref="F16:G17"/>
    <mergeCell ref="J17:K18"/>
    <mergeCell ref="J11:K12"/>
    <mergeCell ref="I4:J5"/>
    <mergeCell ref="B9:C10"/>
    <mergeCell ref="I32:J33"/>
    <mergeCell ref="B24:C25"/>
    <mergeCell ref="F24:G24"/>
    <mergeCell ref="F26:G27"/>
    <mergeCell ref="I26:J27"/>
  </mergeCells>
  <phoneticPr fontId="2"/>
  <printOptions horizontalCentered="1" verticalCentered="1"/>
  <pageMargins left="0.23622047244094491" right="0.23622047244094491" top="0.74803149606299213" bottom="0.1574803149606299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38"/>
  <sheetViews>
    <sheetView showGridLines="0" view="pageBreakPreview" zoomScale="75" zoomScaleNormal="96" zoomScaleSheetLayoutView="75" workbookViewId="0">
      <selection activeCell="R29" sqref="R29"/>
    </sheetView>
  </sheetViews>
  <sheetFormatPr defaultRowHeight="13.5" x14ac:dyDescent="0.15"/>
  <cols>
    <col min="1" max="1" width="5.875" customWidth="1"/>
    <col min="2" max="2" width="15.625" customWidth="1"/>
    <col min="3" max="3" width="10.625" customWidth="1"/>
    <col min="6" max="6" width="19.25" customWidth="1"/>
    <col min="7" max="7" width="10.625" customWidth="1"/>
    <col min="9" max="9" width="15.125" customWidth="1"/>
    <col min="10" max="10" width="9.125" customWidth="1"/>
    <col min="11" max="11" width="10.625" customWidth="1"/>
    <col min="13" max="13" width="2.375" customWidth="1"/>
  </cols>
  <sheetData>
    <row r="1" spans="2:11" s="357" customFormat="1" x14ac:dyDescent="0.15">
      <c r="E1" s="357" t="s">
        <v>608</v>
      </c>
    </row>
    <row r="2" spans="2:11" ht="17.25" thickBot="1" x14ac:dyDescent="0.2">
      <c r="B2" s="482"/>
      <c r="C2" s="482"/>
    </row>
    <row r="3" spans="2:11" ht="15.95" customHeight="1" x14ac:dyDescent="0.15">
      <c r="B3" s="10"/>
      <c r="F3" s="462" t="s">
        <v>188</v>
      </c>
      <c r="G3" s="468"/>
      <c r="I3" s="462" t="s">
        <v>191</v>
      </c>
      <c r="J3" s="468"/>
    </row>
    <row r="4" spans="2:11" ht="15.95" customHeight="1" thickBot="1" x14ac:dyDescent="0.2">
      <c r="F4" s="469"/>
      <c r="G4" s="470"/>
      <c r="I4" s="469"/>
      <c r="J4" s="470"/>
    </row>
    <row r="5" spans="2:11" ht="15.95" customHeight="1" x14ac:dyDescent="0.15">
      <c r="F5" s="11" t="s">
        <v>187</v>
      </c>
      <c r="G5" s="152">
        <f>プログラムシート!C40</f>
        <v>11460</v>
      </c>
      <c r="I5" s="11" t="s">
        <v>192</v>
      </c>
      <c r="J5" s="152" t="s">
        <v>193</v>
      </c>
    </row>
    <row r="6" spans="2:11" ht="15.95" customHeight="1" thickBot="1" x14ac:dyDescent="0.2">
      <c r="F6" s="11" t="s">
        <v>189</v>
      </c>
      <c r="G6" s="152">
        <f>プログラムシート!C43</f>
        <v>-55</v>
      </c>
      <c r="I6" s="153" t="s">
        <v>194</v>
      </c>
      <c r="J6" s="154">
        <f>プログラムシート!AT52</f>
        <v>188</v>
      </c>
    </row>
    <row r="7" spans="2:11" ht="15.95" customHeight="1" thickBot="1" x14ac:dyDescent="0.2">
      <c r="F7" s="7" t="s">
        <v>190</v>
      </c>
      <c r="G7" s="131">
        <f>G5+G6</f>
        <v>11405</v>
      </c>
      <c r="I7" s="126"/>
      <c r="J7" s="155"/>
    </row>
    <row r="8" spans="2:11" ht="15.95" customHeight="1" x14ac:dyDescent="0.15">
      <c r="B8" s="462" t="s">
        <v>180</v>
      </c>
      <c r="C8" s="463"/>
    </row>
    <row r="9" spans="2:11" ht="15.95" customHeight="1" thickBot="1" x14ac:dyDescent="0.2">
      <c r="B9" s="487"/>
      <c r="C9" s="488"/>
    </row>
    <row r="10" spans="2:11" ht="15.95" customHeight="1" x14ac:dyDescent="0.15">
      <c r="B10" s="4" t="s">
        <v>102</v>
      </c>
      <c r="C10" s="121">
        <f>プログラムシート!K7</f>
        <v>4</v>
      </c>
      <c r="J10" s="466"/>
      <c r="K10" s="489"/>
    </row>
    <row r="11" spans="2:11" ht="15.95" customHeight="1" thickBot="1" x14ac:dyDescent="0.2">
      <c r="B11" s="9" t="s">
        <v>183</v>
      </c>
      <c r="C11" s="135">
        <f>プログラムシート!$AC$29</f>
        <v>23</v>
      </c>
      <c r="J11" s="489"/>
      <c r="K11" s="489"/>
    </row>
    <row r="12" spans="2:11" ht="15.95" customHeight="1" x14ac:dyDescent="0.15">
      <c r="B12" s="126"/>
      <c r="C12" s="136"/>
      <c r="I12" s="21"/>
      <c r="J12" s="133"/>
      <c r="K12" s="143"/>
    </row>
    <row r="13" spans="2:11" ht="15.95" customHeight="1" x14ac:dyDescent="0.15">
      <c r="B13" s="137"/>
      <c r="C13" s="138"/>
      <c r="J13" s="20"/>
      <c r="K13" s="144"/>
    </row>
    <row r="14" spans="2:11" ht="15.95" customHeight="1" thickBot="1" x14ac:dyDescent="0.2">
      <c r="J14" s="20"/>
    </row>
    <row r="15" spans="2:11" ht="15.95" customHeight="1" x14ac:dyDescent="0.15">
      <c r="B15" s="462" t="s">
        <v>105</v>
      </c>
      <c r="C15" s="463"/>
      <c r="F15" s="462" t="s">
        <v>107</v>
      </c>
      <c r="G15" s="463"/>
      <c r="I15" s="462" t="s">
        <v>186</v>
      </c>
      <c r="J15" s="463"/>
      <c r="K15" s="150"/>
    </row>
    <row r="16" spans="2:11" ht="15.95" customHeight="1" thickBot="1" x14ac:dyDescent="0.2">
      <c r="B16" s="472"/>
      <c r="C16" s="473"/>
      <c r="F16" s="474"/>
      <c r="G16" s="475"/>
      <c r="I16" s="474"/>
      <c r="J16" s="475"/>
      <c r="K16" s="150"/>
    </row>
    <row r="17" spans="2:11" ht="15.95" customHeight="1" x14ac:dyDescent="0.15">
      <c r="B17" s="4" t="s">
        <v>184</v>
      </c>
      <c r="C17" s="128">
        <f>プログラムシート!AY14</f>
        <v>2</v>
      </c>
      <c r="F17" s="8" t="s">
        <v>11</v>
      </c>
      <c r="G17" s="119">
        <f>プログラムシート!S43</f>
        <v>18.538181818181815</v>
      </c>
      <c r="I17" s="8" t="s">
        <v>11</v>
      </c>
      <c r="J17" s="119">
        <f>プログラムシート!S49</f>
        <v>9.9681818181818169</v>
      </c>
      <c r="K17" s="150"/>
    </row>
    <row r="18" spans="2:11" ht="15.95" customHeight="1" thickBot="1" x14ac:dyDescent="0.2">
      <c r="B18" s="5" t="s">
        <v>185</v>
      </c>
      <c r="C18" s="139">
        <f>プログラムシート!AQ14</f>
        <v>2</v>
      </c>
      <c r="F18" s="9" t="s">
        <v>183</v>
      </c>
      <c r="G18" s="135">
        <f>プログラムシート!BP51</f>
        <v>165</v>
      </c>
      <c r="I18" s="7" t="s">
        <v>183</v>
      </c>
      <c r="J18" s="151">
        <f>プログラムシート!BP50</f>
        <v>25</v>
      </c>
      <c r="K18" s="150"/>
    </row>
    <row r="19" spans="2:11" ht="15.95" customHeight="1" thickBot="1" x14ac:dyDescent="0.2">
      <c r="B19" s="9" t="s">
        <v>183</v>
      </c>
      <c r="C19" s="135">
        <f>プログラムシート!$AC$29</f>
        <v>23</v>
      </c>
      <c r="F19" s="126"/>
      <c r="G19" s="149"/>
      <c r="J19" s="20"/>
      <c r="K19" s="144"/>
    </row>
    <row r="20" spans="2:11" ht="15.95" customHeight="1" x14ac:dyDescent="0.15">
      <c r="B20" s="126"/>
      <c r="C20" s="136"/>
      <c r="F20" s="137"/>
      <c r="G20" s="138"/>
      <c r="J20" s="20"/>
      <c r="K20" s="21"/>
    </row>
    <row r="21" spans="2:11" ht="15.95" customHeight="1" x14ac:dyDescent="0.15"/>
    <row r="22" spans="2:11" ht="15.95" customHeight="1" thickBot="1" x14ac:dyDescent="0.2"/>
    <row r="23" spans="2:11" ht="15.95" customHeight="1" x14ac:dyDescent="0.15">
      <c r="B23" s="462" t="s">
        <v>106</v>
      </c>
      <c r="C23" s="463"/>
      <c r="F23" s="471"/>
      <c r="G23" s="471"/>
    </row>
    <row r="24" spans="2:11" ht="15.95" customHeight="1" thickBot="1" x14ac:dyDescent="0.2">
      <c r="B24" s="464"/>
      <c r="C24" s="465"/>
      <c r="F24" s="3"/>
      <c r="G24" s="3"/>
    </row>
    <row r="25" spans="2:11" ht="15.95" customHeight="1" x14ac:dyDescent="0.15">
      <c r="B25" s="8" t="s">
        <v>10</v>
      </c>
      <c r="C25" s="118">
        <f>プログラムシート!W7</f>
        <v>145.69999999999999</v>
      </c>
      <c r="F25" s="462" t="s">
        <v>110</v>
      </c>
      <c r="G25" s="463"/>
      <c r="I25" s="466"/>
      <c r="J25" s="490"/>
    </row>
    <row r="26" spans="2:11" ht="15.95" customHeight="1" thickBot="1" x14ac:dyDescent="0.2">
      <c r="B26" s="9" t="s">
        <v>183</v>
      </c>
      <c r="C26" s="135">
        <f>プログラムシート!$AC$29</f>
        <v>23</v>
      </c>
      <c r="F26" s="472"/>
      <c r="G26" s="473"/>
      <c r="I26" s="490"/>
      <c r="J26" s="490"/>
    </row>
    <row r="27" spans="2:11" ht="15.95" customHeight="1" x14ac:dyDescent="0.15">
      <c r="B27" s="126"/>
      <c r="C27" s="136"/>
      <c r="F27" s="8" t="s">
        <v>19</v>
      </c>
      <c r="G27" s="121">
        <f>プログラムシート!AD46</f>
        <v>168.2381818181818</v>
      </c>
      <c r="I27" s="16"/>
      <c r="J27" s="17"/>
    </row>
    <row r="28" spans="2:11" ht="15.95" customHeight="1" x14ac:dyDescent="0.15">
      <c r="B28" s="142"/>
      <c r="C28" s="142"/>
      <c r="F28" s="9" t="s">
        <v>183</v>
      </c>
      <c r="G28" s="135">
        <f>プログラムシート!X33</f>
        <v>37</v>
      </c>
      <c r="I28" s="16"/>
      <c r="J28" s="146"/>
    </row>
    <row r="29" spans="2:11" ht="15.95" customHeight="1" thickBot="1" x14ac:dyDescent="0.2">
      <c r="B29" s="140"/>
      <c r="C29" s="141"/>
      <c r="F29" s="9" t="s">
        <v>610</v>
      </c>
      <c r="G29" s="122">
        <f>プログラムシート!AS48</f>
        <v>11405</v>
      </c>
      <c r="H29" t="s">
        <v>0</v>
      </c>
      <c r="I29" s="16"/>
      <c r="J29" s="17"/>
    </row>
    <row r="30" spans="2:11" ht="15.95" customHeight="1" x14ac:dyDescent="0.15">
      <c r="F30" s="126"/>
      <c r="G30" s="136"/>
      <c r="I30" s="147"/>
      <c r="J30" s="147"/>
    </row>
    <row r="31" spans="2:11" ht="15.95" customHeight="1" x14ac:dyDescent="0.15">
      <c r="I31" s="491"/>
      <c r="J31" s="491"/>
    </row>
    <row r="32" spans="2:11" ht="15.95" customHeight="1" x14ac:dyDescent="0.15">
      <c r="I32" s="16"/>
      <c r="J32" s="17"/>
    </row>
    <row r="33" spans="9:10" ht="15.95" customHeight="1" x14ac:dyDescent="0.15">
      <c r="I33" s="16"/>
      <c r="J33" s="146"/>
    </row>
    <row r="34" spans="9:10" ht="15.95" customHeight="1" x14ac:dyDescent="0.15">
      <c r="I34" s="16"/>
      <c r="J34" s="148"/>
    </row>
    <row r="35" spans="9:10" ht="15.95" customHeight="1" x14ac:dyDescent="0.15">
      <c r="I35" s="137"/>
      <c r="J35" s="145"/>
    </row>
    <row r="36" spans="9:10" ht="15.95" customHeight="1" x14ac:dyDescent="0.15"/>
    <row r="37" spans="9:10" ht="15.95" customHeight="1" x14ac:dyDescent="0.15"/>
    <row r="38" spans="9:10" ht="15.95" customHeight="1" x14ac:dyDescent="0.15"/>
  </sheetData>
  <sheetProtection algorithmName="SHA-512" hashValue="YSFUEcowZykXeJ7BYeMe3NfU2r0GUp0oKnaLNGjzz9rEsPor0loi9GFDSTsAiZAXxlsGowIqRliDbXhcdh0/fg==" saltValue="TRIDvhs4p30mbh8JdYkWBw==" spinCount="100000" sheet="1" objects="1" scenarios="1" selectLockedCells="1" selectUnlockedCells="1"/>
  <mergeCells count="13">
    <mergeCell ref="B23:C24"/>
    <mergeCell ref="F23:G23"/>
    <mergeCell ref="F25:G26"/>
    <mergeCell ref="I25:J26"/>
    <mergeCell ref="I31:J31"/>
    <mergeCell ref="B15:C16"/>
    <mergeCell ref="F15:G16"/>
    <mergeCell ref="I15:J16"/>
    <mergeCell ref="B2:C2"/>
    <mergeCell ref="F3:G4"/>
    <mergeCell ref="I3:J4"/>
    <mergeCell ref="B8:C9"/>
    <mergeCell ref="J10:K1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A93"/>
  <sheetViews>
    <sheetView view="pageBreakPreview" topLeftCell="A14" zoomScaleNormal="100" zoomScaleSheetLayoutView="100" workbookViewId="0">
      <selection activeCell="BP22" sqref="BP22"/>
    </sheetView>
  </sheetViews>
  <sheetFormatPr defaultColWidth="2.5" defaultRowHeight="10.5" customHeight="1" x14ac:dyDescent="0.15"/>
  <cols>
    <col min="1" max="25" width="2.5" style="40"/>
    <col min="26" max="26" width="3" style="40" bestFit="1" customWidth="1"/>
    <col min="27" max="67" width="2.5" style="40"/>
    <col min="68" max="68" width="4.875" style="40" customWidth="1"/>
    <col min="69" max="70" width="2.5" style="40"/>
    <col min="71" max="71" width="5" style="40" customWidth="1"/>
    <col min="72" max="73" width="2.5" style="40"/>
    <col min="74" max="74" width="4.875" style="40" customWidth="1"/>
    <col min="75" max="281" width="2.5" style="40"/>
    <col min="282" max="282" width="3" style="40" bestFit="1" customWidth="1"/>
    <col min="283" max="537" width="2.5" style="40"/>
    <col min="538" max="538" width="3" style="40" bestFit="1" customWidth="1"/>
    <col min="539" max="793" width="2.5" style="40"/>
    <col min="794" max="794" width="3" style="40" bestFit="1" customWidth="1"/>
    <col min="795" max="1049" width="2.5" style="40"/>
    <col min="1050" max="1050" width="3" style="40" bestFit="1" customWidth="1"/>
    <col min="1051" max="1305" width="2.5" style="40"/>
    <col min="1306" max="1306" width="3" style="40" bestFit="1" customWidth="1"/>
    <col min="1307" max="1561" width="2.5" style="40"/>
    <col min="1562" max="1562" width="3" style="40" bestFit="1" customWidth="1"/>
    <col min="1563" max="1817" width="2.5" style="40"/>
    <col min="1818" max="1818" width="3" style="40" bestFit="1" customWidth="1"/>
    <col min="1819" max="2073" width="2.5" style="40"/>
    <col min="2074" max="2074" width="3" style="40" bestFit="1" customWidth="1"/>
    <col min="2075" max="2329" width="2.5" style="40"/>
    <col min="2330" max="2330" width="3" style="40" bestFit="1" customWidth="1"/>
    <col min="2331" max="2585" width="2.5" style="40"/>
    <col min="2586" max="2586" width="3" style="40" bestFit="1" customWidth="1"/>
    <col min="2587" max="2841" width="2.5" style="40"/>
    <col min="2842" max="2842" width="3" style="40" bestFit="1" customWidth="1"/>
    <col min="2843" max="3097" width="2.5" style="40"/>
    <col min="3098" max="3098" width="3" style="40" bestFit="1" customWidth="1"/>
    <col min="3099" max="3353" width="2.5" style="40"/>
    <col min="3354" max="3354" width="3" style="40" bestFit="1" customWidth="1"/>
    <col min="3355" max="3609" width="2.5" style="40"/>
    <col min="3610" max="3610" width="3" style="40" bestFit="1" customWidth="1"/>
    <col min="3611" max="3865" width="2.5" style="40"/>
    <col min="3866" max="3866" width="3" style="40" bestFit="1" customWidth="1"/>
    <col min="3867" max="4121" width="2.5" style="40"/>
    <col min="4122" max="4122" width="3" style="40" bestFit="1" customWidth="1"/>
    <col min="4123" max="4377" width="2.5" style="40"/>
    <col min="4378" max="4378" width="3" style="40" bestFit="1" customWidth="1"/>
    <col min="4379" max="4633" width="2.5" style="40"/>
    <col min="4634" max="4634" width="3" style="40" bestFit="1" customWidth="1"/>
    <col min="4635" max="4889" width="2.5" style="40"/>
    <col min="4890" max="4890" width="3" style="40" bestFit="1" customWidth="1"/>
    <col min="4891" max="5145" width="2.5" style="40"/>
    <col min="5146" max="5146" width="3" style="40" bestFit="1" customWidth="1"/>
    <col min="5147" max="5401" width="2.5" style="40"/>
    <col min="5402" max="5402" width="3" style="40" bestFit="1" customWidth="1"/>
    <col min="5403" max="5657" width="2.5" style="40"/>
    <col min="5658" max="5658" width="3" style="40" bestFit="1" customWidth="1"/>
    <col min="5659" max="5913" width="2.5" style="40"/>
    <col min="5914" max="5914" width="3" style="40" bestFit="1" customWidth="1"/>
    <col min="5915" max="6169" width="2.5" style="40"/>
    <col min="6170" max="6170" width="3" style="40" bestFit="1" customWidth="1"/>
    <col min="6171" max="6425" width="2.5" style="40"/>
    <col min="6426" max="6426" width="3" style="40" bestFit="1" customWidth="1"/>
    <col min="6427" max="6681" width="2.5" style="40"/>
    <col min="6682" max="6682" width="3" style="40" bestFit="1" customWidth="1"/>
    <col min="6683" max="6937" width="2.5" style="40"/>
    <col min="6938" max="6938" width="3" style="40" bestFit="1" customWidth="1"/>
    <col min="6939" max="7193" width="2.5" style="40"/>
    <col min="7194" max="7194" width="3" style="40" bestFit="1" customWidth="1"/>
    <col min="7195" max="7449" width="2.5" style="40"/>
    <col min="7450" max="7450" width="3" style="40" bestFit="1" customWidth="1"/>
    <col min="7451" max="7705" width="2.5" style="40"/>
    <col min="7706" max="7706" width="3" style="40" bestFit="1" customWidth="1"/>
    <col min="7707" max="7961" width="2.5" style="40"/>
    <col min="7962" max="7962" width="3" style="40" bestFit="1" customWidth="1"/>
    <col min="7963" max="8217" width="2.5" style="40"/>
    <col min="8218" max="8218" width="3" style="40" bestFit="1" customWidth="1"/>
    <col min="8219" max="8473" width="2.5" style="40"/>
    <col min="8474" max="8474" width="3" style="40" bestFit="1" customWidth="1"/>
    <col min="8475" max="8729" width="2.5" style="40"/>
    <col min="8730" max="8730" width="3" style="40" bestFit="1" customWidth="1"/>
    <col min="8731" max="8985" width="2.5" style="40"/>
    <col min="8986" max="8986" width="3" style="40" bestFit="1" customWidth="1"/>
    <col min="8987" max="9241" width="2.5" style="40"/>
    <col min="9242" max="9242" width="3" style="40" bestFit="1" customWidth="1"/>
    <col min="9243" max="9497" width="2.5" style="40"/>
    <col min="9498" max="9498" width="3" style="40" bestFit="1" customWidth="1"/>
    <col min="9499" max="9753" width="2.5" style="40"/>
    <col min="9754" max="9754" width="3" style="40" bestFit="1" customWidth="1"/>
    <col min="9755" max="10009" width="2.5" style="40"/>
    <col min="10010" max="10010" width="3" style="40" bestFit="1" customWidth="1"/>
    <col min="10011" max="10265" width="2.5" style="40"/>
    <col min="10266" max="10266" width="3" style="40" bestFit="1" customWidth="1"/>
    <col min="10267" max="10521" width="2.5" style="40"/>
    <col min="10522" max="10522" width="3" style="40" bestFit="1" customWidth="1"/>
    <col min="10523" max="10777" width="2.5" style="40"/>
    <col min="10778" max="10778" width="3" style="40" bestFit="1" customWidth="1"/>
    <col min="10779" max="11033" width="2.5" style="40"/>
    <col min="11034" max="11034" width="3" style="40" bestFit="1" customWidth="1"/>
    <col min="11035" max="11289" width="2.5" style="40"/>
    <col min="11290" max="11290" width="3" style="40" bestFit="1" customWidth="1"/>
    <col min="11291" max="11545" width="2.5" style="40"/>
    <col min="11546" max="11546" width="3" style="40" bestFit="1" customWidth="1"/>
    <col min="11547" max="11801" width="2.5" style="40"/>
    <col min="11802" max="11802" width="3" style="40" bestFit="1" customWidth="1"/>
    <col min="11803" max="12057" width="2.5" style="40"/>
    <col min="12058" max="12058" width="3" style="40" bestFit="1" customWidth="1"/>
    <col min="12059" max="12313" width="2.5" style="40"/>
    <col min="12314" max="12314" width="3" style="40" bestFit="1" customWidth="1"/>
    <col min="12315" max="12569" width="2.5" style="40"/>
    <col min="12570" max="12570" width="3" style="40" bestFit="1" customWidth="1"/>
    <col min="12571" max="12825" width="2.5" style="40"/>
    <col min="12826" max="12826" width="3" style="40" bestFit="1" customWidth="1"/>
    <col min="12827" max="13081" width="2.5" style="40"/>
    <col min="13082" max="13082" width="3" style="40" bestFit="1" customWidth="1"/>
    <col min="13083" max="13337" width="2.5" style="40"/>
    <col min="13338" max="13338" width="3" style="40" bestFit="1" customWidth="1"/>
    <col min="13339" max="13593" width="2.5" style="40"/>
    <col min="13594" max="13594" width="3" style="40" bestFit="1" customWidth="1"/>
    <col min="13595" max="13849" width="2.5" style="40"/>
    <col min="13850" max="13850" width="3" style="40" bestFit="1" customWidth="1"/>
    <col min="13851" max="14105" width="2.5" style="40"/>
    <col min="14106" max="14106" width="3" style="40" bestFit="1" customWidth="1"/>
    <col min="14107" max="14361" width="2.5" style="40"/>
    <col min="14362" max="14362" width="3" style="40" bestFit="1" customWidth="1"/>
    <col min="14363" max="14617" width="2.5" style="40"/>
    <col min="14618" max="14618" width="3" style="40" bestFit="1" customWidth="1"/>
    <col min="14619" max="14873" width="2.5" style="40"/>
    <col min="14874" max="14874" width="3" style="40" bestFit="1" customWidth="1"/>
    <col min="14875" max="15129" width="2.5" style="40"/>
    <col min="15130" max="15130" width="3" style="40" bestFit="1" customWidth="1"/>
    <col min="15131" max="15385" width="2.5" style="40"/>
    <col min="15386" max="15386" width="3" style="40" bestFit="1" customWidth="1"/>
    <col min="15387" max="15641" width="2.5" style="40"/>
    <col min="15642" max="15642" width="3" style="40" bestFit="1" customWidth="1"/>
    <col min="15643" max="15897" width="2.5" style="40"/>
    <col min="15898" max="15898" width="3" style="40" bestFit="1" customWidth="1"/>
    <col min="15899" max="16153" width="2.5" style="40"/>
    <col min="16154" max="16154" width="3" style="40" bestFit="1" customWidth="1"/>
    <col min="16155" max="16384" width="2.5" style="40"/>
  </cols>
  <sheetData>
    <row r="1" spans="8:74" s="23" customFormat="1" ht="18" customHeight="1" x14ac:dyDescent="0.15">
      <c r="O1" s="24" t="s">
        <v>359</v>
      </c>
      <c r="Q1" s="23" t="s">
        <v>22</v>
      </c>
      <c r="BE1" s="25" t="s">
        <v>360</v>
      </c>
    </row>
    <row r="2" spans="8:74" s="23" customFormat="1" ht="18" customHeight="1" x14ac:dyDescent="0.15">
      <c r="N2" s="26"/>
    </row>
    <row r="3" spans="8:74" s="27" customFormat="1" ht="17.25" customHeight="1" x14ac:dyDescent="0.15">
      <c r="P3" s="28"/>
      <c r="Q3" s="27" t="s">
        <v>361</v>
      </c>
      <c r="W3" s="27" t="s">
        <v>362</v>
      </c>
    </row>
    <row r="4" spans="8:74" s="27" customFormat="1" ht="10.5" customHeight="1" x14ac:dyDescent="0.15"/>
    <row r="5" spans="8:74" s="27" customFormat="1" ht="10.5" customHeight="1" x14ac:dyDescent="0.15"/>
    <row r="6" spans="8:74" s="27" customFormat="1" ht="10.5" customHeight="1" x14ac:dyDescent="0.15">
      <c r="U6" s="29"/>
      <c r="V6" s="30" t="s">
        <v>23</v>
      </c>
      <c r="W6" s="30"/>
      <c r="X6" s="30"/>
      <c r="Y6" s="30"/>
      <c r="Z6" s="31"/>
    </row>
    <row r="7" spans="8:74" s="27" customFormat="1" ht="10.5" customHeight="1" x14ac:dyDescent="0.15">
      <c r="O7" s="36"/>
      <c r="P7" s="36"/>
      <c r="Q7" s="36"/>
      <c r="R7" s="36"/>
      <c r="S7" s="36"/>
      <c r="T7" s="36"/>
      <c r="U7" s="32" t="s">
        <v>363</v>
      </c>
      <c r="V7" s="33"/>
      <c r="W7" s="37">
        <f>ROUND(W8/W9*100,1)</f>
        <v>145.69999999999999</v>
      </c>
      <c r="X7" s="37"/>
      <c r="Y7" s="33" t="s">
        <v>25</v>
      </c>
      <c r="Z7" s="35"/>
      <c r="AA7" s="36"/>
      <c r="AB7" s="36"/>
      <c r="AC7" s="36"/>
      <c r="AD7" s="36"/>
      <c r="AE7" s="36"/>
      <c r="AF7" s="36"/>
    </row>
    <row r="8" spans="8:74" s="27" customFormat="1" ht="11.25" customHeight="1" x14ac:dyDescent="0.15">
      <c r="O8" s="39"/>
      <c r="P8" s="39"/>
      <c r="Q8" s="40"/>
      <c r="R8" s="40"/>
      <c r="S8" s="40"/>
      <c r="T8" s="40"/>
      <c r="U8" s="32" t="s">
        <v>364</v>
      </c>
      <c r="V8" s="33"/>
      <c r="W8" s="41">
        <f>BP13</f>
        <v>5.0999999999999996</v>
      </c>
      <c r="X8" s="41"/>
      <c r="Y8" s="33" t="s">
        <v>26</v>
      </c>
      <c r="Z8" s="35"/>
      <c r="AA8" s="40"/>
      <c r="AB8" s="40"/>
      <c r="AC8" s="40"/>
      <c r="AD8" s="40"/>
      <c r="AE8" s="40"/>
      <c r="AF8" s="40" t="s">
        <v>365</v>
      </c>
    </row>
    <row r="9" spans="8:74" s="36" customFormat="1" ht="10.5" customHeight="1" x14ac:dyDescent="0.15">
      <c r="H9" s="27"/>
      <c r="I9" s="27"/>
      <c r="J9" s="27"/>
      <c r="K9" s="27"/>
      <c r="L9" s="27"/>
      <c r="M9" s="27"/>
      <c r="N9" s="27"/>
      <c r="O9" s="43"/>
      <c r="P9" s="43"/>
      <c r="U9" s="32" t="s">
        <v>122</v>
      </c>
      <c r="V9" s="33"/>
      <c r="W9" s="41">
        <f>BP14</f>
        <v>3.5</v>
      </c>
      <c r="X9" s="41"/>
      <c r="Y9" s="33" t="s">
        <v>366</v>
      </c>
      <c r="Z9" s="35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173" t="s">
        <v>213</v>
      </c>
      <c r="BN9" s="177"/>
      <c r="BO9" s="177"/>
    </row>
    <row r="10" spans="8:74" s="36" customFormat="1" ht="10.5" customHeight="1" x14ac:dyDescent="0.15">
      <c r="H10" s="27"/>
      <c r="I10" s="27"/>
      <c r="J10" s="27"/>
      <c r="K10" s="27"/>
      <c r="L10" s="27"/>
      <c r="M10" s="27"/>
      <c r="N10" s="27"/>
      <c r="O10" s="43"/>
      <c r="P10" s="43"/>
      <c r="U10" s="32" t="s">
        <v>367</v>
      </c>
      <c r="V10" s="33"/>
      <c r="W10" s="45">
        <f>BP15</f>
        <v>80</v>
      </c>
      <c r="X10" s="41"/>
      <c r="Y10" s="33" t="s">
        <v>368</v>
      </c>
      <c r="Z10" s="35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N10" s="177"/>
      <c r="BO10" s="177"/>
    </row>
    <row r="11" spans="8:74" s="36" customFormat="1" ht="10.5" customHeight="1" x14ac:dyDescent="0.15">
      <c r="H11" s="27"/>
      <c r="I11" s="27"/>
      <c r="J11" s="27"/>
      <c r="K11" s="27"/>
      <c r="L11" s="27"/>
      <c r="M11" s="27"/>
      <c r="N11" s="27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27"/>
      <c r="AK11" s="27"/>
      <c r="AL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174" t="s">
        <v>214</v>
      </c>
      <c r="BH11" s="40" t="s">
        <v>211</v>
      </c>
      <c r="BN11" s="177"/>
      <c r="BO11" s="177"/>
    </row>
    <row r="12" spans="8:74" s="36" customFormat="1" ht="10.5" customHeight="1" x14ac:dyDescent="0.15">
      <c r="H12" s="27"/>
      <c r="I12" s="27"/>
      <c r="J12" s="27"/>
      <c r="K12" s="27"/>
      <c r="L12" s="27"/>
      <c r="M12" s="27"/>
      <c r="N12" s="27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27"/>
      <c r="AK12" s="27"/>
      <c r="AL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I12" s="40"/>
      <c r="BJ12" s="40"/>
      <c r="BK12" s="40"/>
      <c r="BL12" s="40"/>
      <c r="BM12" s="40"/>
      <c r="BN12" s="100"/>
      <c r="BO12" s="100"/>
      <c r="BP12" s="40" t="s">
        <v>208</v>
      </c>
    </row>
    <row r="13" spans="8:74" ht="10.5" customHeight="1" x14ac:dyDescent="0.15">
      <c r="H13" s="27"/>
      <c r="I13" s="27"/>
      <c r="J13" s="27"/>
      <c r="K13" s="27"/>
      <c r="L13" s="27"/>
      <c r="M13" s="27"/>
      <c r="N13" s="27"/>
      <c r="AJ13" s="27"/>
      <c r="AK13" s="27"/>
      <c r="AL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H13" s="171" t="s">
        <v>225</v>
      </c>
      <c r="BI13" s="172"/>
      <c r="BJ13" s="172"/>
      <c r="BK13" s="172"/>
      <c r="BL13" s="172"/>
      <c r="BM13" s="172"/>
      <c r="BN13" s="178" t="s">
        <v>236</v>
      </c>
      <c r="BO13" s="178"/>
      <c r="BP13" s="183">
        <f>'入力シート（実証技術）'!L21</f>
        <v>5.0999999999999996</v>
      </c>
      <c r="BQ13" s="184"/>
      <c r="BR13" s="184"/>
      <c r="BS13" s="183"/>
      <c r="BT13" s="185"/>
      <c r="BU13" s="172"/>
      <c r="BV13" s="183"/>
    </row>
    <row r="14" spans="8:74" ht="10.5" customHeight="1" x14ac:dyDescent="0.15">
      <c r="H14" s="27"/>
      <c r="I14" s="27"/>
      <c r="J14" s="27"/>
      <c r="K14" s="27"/>
      <c r="L14" s="27"/>
      <c r="M14" s="27"/>
      <c r="N14" s="27"/>
      <c r="AJ14" s="27"/>
      <c r="AK14" s="27"/>
      <c r="AL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H14" s="171" t="s">
        <v>226</v>
      </c>
      <c r="BI14" s="172"/>
      <c r="BJ14" s="172"/>
      <c r="BK14" s="172"/>
      <c r="BL14" s="172"/>
      <c r="BM14" s="172"/>
      <c r="BN14" s="100" t="s">
        <v>237</v>
      </c>
      <c r="BO14" s="100"/>
      <c r="BP14" s="183">
        <f>'入力シート（実証技術）'!L22</f>
        <v>3.5</v>
      </c>
      <c r="BQ14" s="184"/>
      <c r="BR14" s="184"/>
      <c r="BS14" s="183"/>
      <c r="BT14" s="185"/>
      <c r="BU14" s="172"/>
      <c r="BV14" s="183"/>
    </row>
    <row r="15" spans="8:74" ht="10.5" customHeight="1" x14ac:dyDescent="0.15">
      <c r="H15" s="27"/>
      <c r="I15" s="27"/>
      <c r="J15" s="27"/>
      <c r="K15" s="27"/>
      <c r="L15" s="27"/>
      <c r="M15" s="27"/>
      <c r="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H15" s="171" t="s">
        <v>227</v>
      </c>
      <c r="BI15" s="172"/>
      <c r="BJ15" s="172"/>
      <c r="BK15" s="172"/>
      <c r="BL15" s="172"/>
      <c r="BM15" s="172"/>
      <c r="BN15" s="100" t="s">
        <v>237</v>
      </c>
      <c r="BO15" s="100"/>
      <c r="BP15" s="182">
        <f>'入力シート（実証技術）'!L23</f>
        <v>80</v>
      </c>
      <c r="BQ15" s="184"/>
      <c r="BR15" s="184"/>
      <c r="BS15" s="182"/>
      <c r="BT15" s="185"/>
      <c r="BU15" s="172"/>
      <c r="BV15" s="182"/>
    </row>
    <row r="16" spans="8:74" ht="10.5" customHeight="1" x14ac:dyDescent="0.15"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N16" s="178"/>
      <c r="BO16" s="178"/>
      <c r="BP16" s="100"/>
    </row>
    <row r="17" spans="1:79" ht="10.5" customHeight="1" x14ac:dyDescent="0.15">
      <c r="X17" s="51"/>
      <c r="Y17" s="52"/>
      <c r="Z17" s="29"/>
      <c r="AA17" s="30" t="s">
        <v>29</v>
      </c>
      <c r="AB17" s="30"/>
      <c r="AC17" s="30"/>
      <c r="AD17" s="30"/>
      <c r="AE17" s="30"/>
      <c r="AF17" s="31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G17" s="174" t="s">
        <v>215</v>
      </c>
      <c r="BH17" s="39" t="s">
        <v>36</v>
      </c>
      <c r="BN17" s="100"/>
      <c r="BO17" s="100"/>
      <c r="BP17" s="100"/>
    </row>
    <row r="18" spans="1:79" ht="10.5" customHeight="1" x14ac:dyDescent="0.15">
      <c r="X18" s="27"/>
      <c r="Y18" s="27"/>
      <c r="Z18" s="32" t="s">
        <v>369</v>
      </c>
      <c r="AA18" s="33"/>
      <c r="AB18" s="33"/>
      <c r="AC18" s="45">
        <f>K7+W7</f>
        <v>145.69999999999999</v>
      </c>
      <c r="AD18" s="37"/>
      <c r="AE18" s="33" t="s">
        <v>25</v>
      </c>
      <c r="AF18" s="35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G18" s="27"/>
      <c r="BH18" s="39" t="s">
        <v>203</v>
      </c>
      <c r="BI18" s="39"/>
      <c r="BJ18" s="39"/>
      <c r="BK18" s="39"/>
      <c r="BL18" s="39"/>
      <c r="BM18" s="39"/>
      <c r="BN18" s="178" t="s">
        <v>240</v>
      </c>
      <c r="BO18" s="178"/>
      <c r="BP18" s="182">
        <f>'入力シート（実証技術）'!L26</f>
        <v>23</v>
      </c>
      <c r="BQ18" s="59"/>
      <c r="BR18" s="27"/>
      <c r="BS18" s="27"/>
      <c r="BT18" s="27"/>
      <c r="BU18" s="27"/>
      <c r="BV18" s="27"/>
      <c r="BW18" s="27"/>
      <c r="BX18" s="27"/>
      <c r="BY18" s="27"/>
      <c r="BZ18" s="27"/>
      <c r="CA18" s="27"/>
    </row>
    <row r="19" spans="1:79" s="27" customFormat="1" ht="10.5" customHeight="1" x14ac:dyDescent="0.15">
      <c r="Z19" s="32" t="s">
        <v>370</v>
      </c>
      <c r="AA19" s="33"/>
      <c r="AB19" s="33"/>
      <c r="AC19" s="41">
        <f>K8+W8</f>
        <v>5.0999999999999996</v>
      </c>
      <c r="AD19" s="41"/>
      <c r="AE19" s="33" t="s">
        <v>26</v>
      </c>
      <c r="AF19" s="35"/>
      <c r="AJ19" s="40"/>
      <c r="AK19" s="40"/>
      <c r="AL19" s="40"/>
      <c r="AM19" s="40"/>
      <c r="AN19" s="40"/>
      <c r="BC19" s="40"/>
      <c r="BD19" s="40"/>
      <c r="BH19" s="39" t="s">
        <v>212</v>
      </c>
      <c r="BI19" s="39"/>
      <c r="BJ19" s="39"/>
      <c r="BK19" s="39"/>
      <c r="BL19" s="39"/>
      <c r="BM19" s="39"/>
      <c r="BN19" s="178" t="s">
        <v>240</v>
      </c>
      <c r="BO19" s="178"/>
      <c r="BP19" s="182">
        <f>'入力シート（実証技術）'!L27</f>
        <v>37</v>
      </c>
      <c r="BQ19" s="59"/>
    </row>
    <row r="20" spans="1:79" s="27" customFormat="1" ht="10.5" customHeight="1" x14ac:dyDescent="0.15">
      <c r="Z20" s="32" t="s">
        <v>371</v>
      </c>
      <c r="AA20" s="33"/>
      <c r="AB20" s="33"/>
      <c r="AC20" s="41">
        <f>AC19/AC18*100</f>
        <v>3.5003431708991077</v>
      </c>
      <c r="AD20" s="41"/>
      <c r="AE20" s="33" t="s">
        <v>372</v>
      </c>
      <c r="AF20" s="35"/>
      <c r="AJ20" s="40"/>
      <c r="AK20" s="40"/>
      <c r="AL20" s="40"/>
      <c r="AM20" s="40"/>
      <c r="AN20" s="40"/>
      <c r="BC20" s="40"/>
      <c r="BD20" s="40"/>
      <c r="BN20" s="176"/>
      <c r="BO20" s="176"/>
      <c r="BP20" s="176"/>
    </row>
    <row r="21" spans="1:79" s="27" customFormat="1" ht="10.5" customHeight="1" x14ac:dyDescent="0.15">
      <c r="Z21" s="32" t="s">
        <v>373</v>
      </c>
      <c r="AA21" s="33"/>
      <c r="AB21" s="54"/>
      <c r="AC21" s="55">
        <f>(K8*K10+W8*W10)/AC19</f>
        <v>80</v>
      </c>
      <c r="AD21" s="56"/>
      <c r="AE21" s="33" t="s">
        <v>374</v>
      </c>
      <c r="AF21" s="35"/>
      <c r="AJ21" s="40"/>
      <c r="AK21" s="40"/>
      <c r="AL21" s="40"/>
      <c r="AM21" s="40"/>
      <c r="AN21" s="40"/>
      <c r="BC21" s="40"/>
      <c r="BD21" s="40"/>
      <c r="BG21" s="174" t="s">
        <v>216</v>
      </c>
      <c r="BH21" s="39" t="s">
        <v>217</v>
      </c>
      <c r="BN21" s="176"/>
      <c r="BO21" s="176"/>
      <c r="BP21" s="176"/>
    </row>
    <row r="22" spans="1:79" s="27" customFormat="1" ht="10.5" customHeight="1" x14ac:dyDescent="0.15">
      <c r="Z22" s="39"/>
      <c r="AA22" s="39"/>
      <c r="AB22" s="57"/>
      <c r="AC22" s="58"/>
      <c r="AD22" s="59"/>
      <c r="AE22" s="39"/>
      <c r="AF22" s="39"/>
      <c r="AJ22" s="40"/>
      <c r="AK22" s="40"/>
      <c r="AL22" s="40"/>
      <c r="AM22" s="40"/>
      <c r="AN22" s="40"/>
      <c r="BC22" s="40"/>
      <c r="BD22" s="40"/>
      <c r="BH22" s="39" t="s">
        <v>35</v>
      </c>
      <c r="BI22" s="175"/>
      <c r="BJ22" s="175"/>
      <c r="BK22" s="175"/>
      <c r="BL22" s="175"/>
      <c r="BM22" s="175"/>
      <c r="BN22" s="100" t="s">
        <v>237</v>
      </c>
      <c r="BO22" s="100"/>
      <c r="BP22" s="187">
        <f>'入力シート（実証技術）'!L30</f>
        <v>32</v>
      </c>
    </row>
    <row r="23" spans="1:79" s="27" customFormat="1" ht="10.5" customHeight="1" x14ac:dyDescent="0.15">
      <c r="W23" s="40"/>
      <c r="Z23" s="39"/>
      <c r="AA23" s="39"/>
      <c r="AB23" s="57"/>
      <c r="AC23" s="58"/>
      <c r="AD23" s="59"/>
      <c r="AE23" s="39"/>
      <c r="AF23" s="39"/>
      <c r="AJ23" s="40"/>
      <c r="AK23" s="40"/>
      <c r="AL23" s="40"/>
      <c r="AM23" s="40"/>
      <c r="AN23" s="40"/>
      <c r="BC23" s="40"/>
      <c r="BD23" s="40"/>
      <c r="BG23" s="40"/>
      <c r="BH23" s="115" t="s">
        <v>37</v>
      </c>
      <c r="BI23" s="39"/>
      <c r="BJ23" s="39"/>
      <c r="BK23" s="39"/>
      <c r="BL23" s="39"/>
      <c r="BM23" s="39"/>
      <c r="BN23" s="100" t="s">
        <v>237</v>
      </c>
      <c r="BO23" s="100"/>
      <c r="BP23" s="187">
        <f>'入力シート（実証技術）'!L31</f>
        <v>38</v>
      </c>
      <c r="BQ23" s="40"/>
      <c r="BR23" s="40"/>
      <c r="BS23" s="40"/>
      <c r="BT23" s="40"/>
      <c r="BU23" s="40"/>
      <c r="BV23" s="40"/>
      <c r="BW23" s="40"/>
      <c r="BX23" s="40"/>
      <c r="BY23" s="40"/>
      <c r="BZ23" s="40"/>
    </row>
    <row r="24" spans="1:79" s="27" customFormat="1" ht="10.5" customHeight="1" x14ac:dyDescent="0.15">
      <c r="W24" s="40"/>
      <c r="X24" s="51"/>
      <c r="Y24" s="52"/>
      <c r="Z24" s="29" t="s">
        <v>375</v>
      </c>
      <c r="AA24" s="30"/>
      <c r="AB24" s="30"/>
      <c r="AC24" s="30"/>
      <c r="AD24" s="30"/>
      <c r="AE24" s="30"/>
      <c r="AF24" s="31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G24" s="40"/>
      <c r="BH24" s="40"/>
      <c r="BI24" s="40"/>
      <c r="BJ24" s="40"/>
      <c r="BK24" s="40"/>
      <c r="BL24" s="40"/>
      <c r="BM24" s="40"/>
      <c r="BN24" s="100"/>
      <c r="BO24" s="100"/>
      <c r="BP24" s="100"/>
      <c r="BQ24" s="40"/>
      <c r="BR24" s="40"/>
      <c r="BS24" s="40"/>
      <c r="BT24" s="40"/>
      <c r="BU24" s="40"/>
      <c r="BV24" s="40"/>
      <c r="BW24" s="40"/>
      <c r="BX24" s="40"/>
      <c r="BY24" s="40"/>
      <c r="BZ24" s="40"/>
    </row>
    <row r="25" spans="1:79" s="27" customFormat="1" ht="10.5" customHeight="1" x14ac:dyDescent="0.15">
      <c r="Z25" s="32" t="s">
        <v>376</v>
      </c>
      <c r="AA25" s="33"/>
      <c r="AB25" s="33"/>
      <c r="AC25" s="45">
        <f>AC18+AQ14+AY14</f>
        <v>145.69999999999999</v>
      </c>
      <c r="AD25" s="37"/>
      <c r="AE25" s="33" t="s">
        <v>25</v>
      </c>
      <c r="AF25" s="35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G25" s="174" t="s">
        <v>218</v>
      </c>
      <c r="BH25" s="39" t="s">
        <v>244</v>
      </c>
      <c r="BN25" s="176"/>
      <c r="BO25" s="176"/>
      <c r="BP25" s="176"/>
      <c r="BQ25" s="40"/>
      <c r="BR25" s="40"/>
      <c r="BS25" s="40"/>
      <c r="BT25" s="40"/>
      <c r="BU25" s="40"/>
      <c r="BV25" s="40"/>
      <c r="BW25" s="40"/>
      <c r="BX25" s="40"/>
      <c r="BY25" s="40"/>
      <c r="BZ25" s="40"/>
    </row>
    <row r="26" spans="1:79" s="27" customFormat="1" ht="10.5" customHeight="1" x14ac:dyDescent="0.15">
      <c r="Z26" s="32" t="s">
        <v>377</v>
      </c>
      <c r="AA26" s="33"/>
      <c r="AB26" s="33"/>
      <c r="AC26" s="41">
        <f>+AC19+AQ15+AY15</f>
        <v>5.0999999999999996</v>
      </c>
      <c r="AD26" s="41"/>
      <c r="AE26" s="33" t="s">
        <v>26</v>
      </c>
      <c r="AF26" s="35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H26" s="39" t="s">
        <v>242</v>
      </c>
      <c r="BI26" s="175"/>
      <c r="BJ26" s="175"/>
      <c r="BK26" s="175"/>
      <c r="BL26" s="175"/>
      <c r="BM26" s="175"/>
      <c r="BN26" s="100" t="s">
        <v>243</v>
      </c>
      <c r="BO26" s="100"/>
      <c r="BP26" s="187">
        <v>0</v>
      </c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1:79" ht="10.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Z27" s="32" t="s">
        <v>378</v>
      </c>
      <c r="AA27" s="33"/>
      <c r="AB27" s="33"/>
      <c r="AC27" s="41">
        <f>AC26/AC25*100</f>
        <v>3.5003431708991077</v>
      </c>
      <c r="AD27" s="41"/>
      <c r="AE27" s="33" t="s">
        <v>368</v>
      </c>
      <c r="AF27" s="35"/>
      <c r="BG27" s="27"/>
      <c r="BH27" s="39"/>
      <c r="BI27" s="175"/>
      <c r="BJ27" s="175"/>
      <c r="BK27" s="175"/>
      <c r="BL27" s="175"/>
      <c r="BM27" s="175"/>
      <c r="BN27" s="100"/>
      <c r="BO27" s="100"/>
      <c r="BP27" s="187"/>
    </row>
    <row r="28" spans="1:79" ht="10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Z28" s="32" t="s">
        <v>379</v>
      </c>
      <c r="AA28" s="33"/>
      <c r="AB28" s="54"/>
      <c r="AC28" s="53">
        <f>(AC19*AC21+AQ15*AQ17+AY15*AY17)/AC26</f>
        <v>80</v>
      </c>
      <c r="AD28" s="42"/>
      <c r="AE28" s="33" t="s">
        <v>380</v>
      </c>
      <c r="AF28" s="35"/>
      <c r="BH28" s="115"/>
      <c r="BI28" s="39"/>
      <c r="BJ28" s="39"/>
      <c r="BK28" s="39"/>
      <c r="BL28" s="39"/>
      <c r="BM28" s="39"/>
      <c r="BN28" s="100"/>
      <c r="BO28" s="100"/>
      <c r="BP28" s="180"/>
    </row>
    <row r="29" spans="1:79" ht="10.5" customHeight="1" x14ac:dyDescent="0.1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Z29" s="32" t="s">
        <v>381</v>
      </c>
      <c r="AA29" s="33"/>
      <c r="AB29" s="54"/>
      <c r="AC29" s="53">
        <f>BP18</f>
        <v>23</v>
      </c>
      <c r="AD29" s="42"/>
      <c r="AE29" s="33" t="s">
        <v>142</v>
      </c>
      <c r="AF29" s="35"/>
      <c r="BG29" s="173" t="s">
        <v>222</v>
      </c>
      <c r="BN29" s="100"/>
      <c r="BO29" s="100"/>
      <c r="BP29" s="100"/>
    </row>
    <row r="30" spans="1:79" ht="10.5" customHeight="1" thickBot="1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BN30" s="100"/>
      <c r="BO30" s="100"/>
      <c r="BP30" s="100"/>
    </row>
    <row r="31" spans="1:79" ht="10.5" customHeight="1" thickTop="1" x14ac:dyDescent="0.15">
      <c r="B31" s="27"/>
      <c r="C31" s="27"/>
      <c r="D31" s="27"/>
      <c r="E31" s="27"/>
      <c r="F31" s="27"/>
      <c r="G31" s="27"/>
      <c r="J31" s="39"/>
      <c r="K31" s="39"/>
      <c r="L31" s="39"/>
      <c r="M31" s="66"/>
      <c r="N31" s="67"/>
      <c r="O31" s="39"/>
      <c r="P31" s="39"/>
      <c r="T31" s="68"/>
      <c r="U31" s="69"/>
      <c r="V31" s="70"/>
      <c r="W31" s="71"/>
      <c r="X31" s="71"/>
      <c r="Y31" s="72" t="s">
        <v>382</v>
      </c>
      <c r="Z31" s="71"/>
      <c r="AA31" s="69"/>
      <c r="AB31" s="69"/>
      <c r="AC31" s="73"/>
      <c r="BG31" s="174" t="s">
        <v>221</v>
      </c>
      <c r="BH31" s="40" t="s">
        <v>232</v>
      </c>
      <c r="BN31" s="100" t="s">
        <v>237</v>
      </c>
      <c r="BO31" s="100"/>
      <c r="BP31" s="182">
        <f>'入力シート（実証技術）'!L37</f>
        <v>82</v>
      </c>
      <c r="BR31" s="40" t="s">
        <v>235</v>
      </c>
    </row>
    <row r="32" spans="1:79" ht="10.5" customHeight="1" x14ac:dyDescent="0.15">
      <c r="J32" s="39"/>
      <c r="P32" s="39"/>
      <c r="T32" s="74" t="s">
        <v>383</v>
      </c>
      <c r="U32" s="75">
        <v>3600</v>
      </c>
      <c r="V32" s="75"/>
      <c r="W32" s="75"/>
      <c r="X32" s="39" t="s">
        <v>384</v>
      </c>
      <c r="Y32" s="39" t="s">
        <v>385</v>
      </c>
      <c r="Z32" s="39">
        <v>1</v>
      </c>
      <c r="AA32" s="39" t="s">
        <v>386</v>
      </c>
      <c r="AB32" s="39"/>
      <c r="AC32" s="76"/>
      <c r="BN32" s="100"/>
      <c r="BO32" s="100"/>
      <c r="BP32" s="184"/>
    </row>
    <row r="33" spans="2:73" ht="10.5" customHeight="1" x14ac:dyDescent="0.15">
      <c r="T33" s="74"/>
      <c r="U33" s="77" t="s">
        <v>41</v>
      </c>
      <c r="V33" s="39"/>
      <c r="W33" s="39"/>
      <c r="X33" s="66">
        <f>BP19</f>
        <v>37</v>
      </c>
      <c r="Y33" s="66"/>
      <c r="Z33" s="39" t="s">
        <v>387</v>
      </c>
      <c r="AA33" s="39" t="s">
        <v>388</v>
      </c>
      <c r="AB33" s="39"/>
      <c r="AC33" s="76"/>
      <c r="AT33" s="29"/>
      <c r="AU33" s="30"/>
      <c r="AV33" s="30" t="s">
        <v>389</v>
      </c>
      <c r="AW33" s="30"/>
      <c r="AX33" s="30"/>
      <c r="AY33" s="30"/>
      <c r="AZ33" s="30"/>
      <c r="BA33" s="31"/>
      <c r="BG33" s="174" t="s">
        <v>230</v>
      </c>
      <c r="BH33" s="40" t="s">
        <v>250</v>
      </c>
      <c r="BN33" s="100" t="s">
        <v>237</v>
      </c>
      <c r="BO33" s="100"/>
      <c r="BP33" s="190">
        <f>'入力シート（実証技術）'!L40</f>
        <v>93</v>
      </c>
    </row>
    <row r="34" spans="2:73" ht="10.5" customHeight="1" x14ac:dyDescent="0.15">
      <c r="T34" s="74"/>
      <c r="U34" s="77" t="s">
        <v>390</v>
      </c>
      <c r="V34" s="39"/>
      <c r="W34" s="39"/>
      <c r="X34" s="66">
        <f>U32*Z32/(AC25)</f>
        <v>24.708304735758411</v>
      </c>
      <c r="Y34" s="66"/>
      <c r="Z34" s="39" t="s">
        <v>391</v>
      </c>
      <c r="AA34" s="39" t="s">
        <v>392</v>
      </c>
      <c r="AB34" s="39"/>
      <c r="AC34" s="76"/>
      <c r="AT34" s="32" t="s">
        <v>393</v>
      </c>
      <c r="AU34" s="33"/>
      <c r="AV34" s="33"/>
      <c r="AW34" s="37">
        <f>AH38-AW42</f>
        <v>2040</v>
      </c>
      <c r="AX34" s="37"/>
      <c r="AY34" s="37"/>
      <c r="AZ34" s="33" t="s">
        <v>25</v>
      </c>
      <c r="BA34" s="35"/>
      <c r="BN34" s="100"/>
      <c r="BO34" s="100"/>
    </row>
    <row r="35" spans="2:73" ht="10.5" customHeight="1" x14ac:dyDescent="0.15">
      <c r="T35" s="74"/>
      <c r="U35" s="39"/>
      <c r="V35" s="39"/>
      <c r="W35" s="39"/>
      <c r="X35" s="39"/>
      <c r="Y35" s="39"/>
      <c r="Z35" s="78"/>
      <c r="AA35" s="78"/>
      <c r="AB35" s="43"/>
      <c r="AC35" s="76"/>
      <c r="AT35" s="32" t="s">
        <v>33</v>
      </c>
      <c r="AU35" s="33"/>
      <c r="AV35" s="33"/>
      <c r="AW35" s="37">
        <f>AW34*AI40/24/3.6*AX36</f>
        <v>161.6888888888889</v>
      </c>
      <c r="AX35" s="37"/>
      <c r="AY35" s="37"/>
      <c r="AZ35" s="33" t="s">
        <v>394</v>
      </c>
      <c r="BA35" s="35"/>
      <c r="BG35" s="174" t="s">
        <v>239</v>
      </c>
      <c r="BH35" s="40" t="s">
        <v>176</v>
      </c>
      <c r="BN35" s="100" t="s">
        <v>241</v>
      </c>
      <c r="BO35" s="100"/>
      <c r="BP35" s="183" t="e">
        <f>'入力シート（実証技術）'!#REF!</f>
        <v>#REF!</v>
      </c>
      <c r="BR35" s="40" t="s">
        <v>229</v>
      </c>
      <c r="BS35" s="39"/>
    </row>
    <row r="36" spans="2:73" ht="10.5" customHeight="1" x14ac:dyDescent="0.15">
      <c r="T36" s="74" t="s">
        <v>395</v>
      </c>
      <c r="U36" s="79"/>
      <c r="W36" s="39"/>
      <c r="X36" s="39"/>
      <c r="Z36" s="78">
        <v>0.5</v>
      </c>
      <c r="AA36" s="78"/>
      <c r="AB36" s="43" t="s">
        <v>392</v>
      </c>
      <c r="AC36" s="76"/>
      <c r="AD36" s="39"/>
      <c r="AE36" s="66"/>
      <c r="AF36" s="29"/>
      <c r="AG36" s="30" t="s">
        <v>45</v>
      </c>
      <c r="AH36" s="30"/>
      <c r="AI36" s="30"/>
      <c r="AJ36" s="30"/>
      <c r="AK36" s="30"/>
      <c r="AL36" s="30"/>
      <c r="AM36" s="30"/>
      <c r="AN36" s="31"/>
      <c r="AT36" s="32" t="s">
        <v>35</v>
      </c>
      <c r="AU36" s="33"/>
      <c r="AV36" s="37"/>
      <c r="AW36" s="37"/>
      <c r="AX36" s="60">
        <f>BP22/100</f>
        <v>0.32</v>
      </c>
      <c r="AY36" s="37"/>
      <c r="AZ36" s="33"/>
      <c r="BA36" s="35"/>
      <c r="BH36" s="40" t="s">
        <v>228</v>
      </c>
      <c r="BN36" s="100"/>
      <c r="BO36" s="100"/>
      <c r="BP36" s="184"/>
    </row>
    <row r="37" spans="2:73" ht="10.5" customHeight="1" x14ac:dyDescent="0.15">
      <c r="T37" s="74"/>
      <c r="U37" s="79"/>
      <c r="V37" s="39"/>
      <c r="W37" s="39"/>
      <c r="X37" s="39"/>
      <c r="Y37" s="39"/>
      <c r="Z37" s="80"/>
      <c r="AA37" s="80"/>
      <c r="AB37" s="43"/>
      <c r="AC37" s="76"/>
      <c r="AF37" s="32" t="s">
        <v>396</v>
      </c>
      <c r="AG37" s="33"/>
      <c r="AI37" s="81">
        <v>1</v>
      </c>
      <c r="AJ37" s="46"/>
      <c r="AK37" s="33" t="s">
        <v>397</v>
      </c>
      <c r="AL37" s="33"/>
      <c r="AM37" s="33"/>
      <c r="AN37" s="35"/>
      <c r="AT37" s="61" t="s">
        <v>37</v>
      </c>
      <c r="AU37" s="62"/>
      <c r="AV37" s="63"/>
      <c r="AW37" s="63"/>
      <c r="AX37" s="206">
        <f>BP23/100</f>
        <v>0.38</v>
      </c>
      <c r="AY37" s="63"/>
      <c r="AZ37" s="62"/>
      <c r="BA37" s="64"/>
      <c r="BH37" s="40" t="s">
        <v>176</v>
      </c>
      <c r="BN37" s="100" t="s">
        <v>241</v>
      </c>
      <c r="BO37" s="100"/>
      <c r="BP37" s="186">
        <f>S44/W8</f>
        <v>0</v>
      </c>
      <c r="BR37" s="40" t="s">
        <v>220</v>
      </c>
    </row>
    <row r="38" spans="2:73" ht="10.5" customHeight="1" x14ac:dyDescent="0.15">
      <c r="B38" s="29"/>
      <c r="C38" s="30" t="s">
        <v>398</v>
      </c>
      <c r="D38" s="30"/>
      <c r="E38" s="30"/>
      <c r="F38" s="30"/>
      <c r="G38" s="31"/>
      <c r="T38" s="74"/>
      <c r="U38" s="79"/>
      <c r="V38" s="39"/>
      <c r="W38" s="39"/>
      <c r="X38" s="39"/>
      <c r="Y38" s="39"/>
      <c r="Z38" s="39"/>
      <c r="AA38" s="78"/>
      <c r="AB38" s="78"/>
      <c r="AC38" s="84"/>
      <c r="AF38" s="32" t="s">
        <v>49</v>
      </c>
      <c r="AG38" s="33"/>
      <c r="AH38" s="37">
        <f>(K8*K10/100*AA38+W8*W10/100*Z36+AQ15*AQ17/100*AA39+AY15*AY17/100*AA40)*1000*AI37</f>
        <v>2040</v>
      </c>
      <c r="AI38" s="37"/>
      <c r="AJ38" s="37"/>
      <c r="AK38" s="33" t="s">
        <v>25</v>
      </c>
      <c r="AL38" s="33"/>
      <c r="AM38" s="33"/>
      <c r="AN38" s="35"/>
      <c r="AT38" s="61" t="s">
        <v>38</v>
      </c>
      <c r="AU38" s="62"/>
      <c r="AV38" s="63"/>
      <c r="AW38" s="63">
        <f>ROUND(AW34*AI40*AX37,0)</f>
        <v>16589</v>
      </c>
      <c r="AX38" s="63"/>
      <c r="AY38" s="63"/>
      <c r="AZ38" s="62" t="s">
        <v>39</v>
      </c>
      <c r="BA38" s="64"/>
      <c r="BH38" s="40" t="s">
        <v>178</v>
      </c>
      <c r="BN38" s="100"/>
      <c r="BO38" s="100"/>
    </row>
    <row r="39" spans="2:73" ht="10.5" customHeight="1" x14ac:dyDescent="0.15">
      <c r="B39" s="32" t="s">
        <v>399</v>
      </c>
      <c r="C39" s="207">
        <f>AS47</f>
        <v>11100</v>
      </c>
      <c r="D39" s="37"/>
      <c r="E39" s="37"/>
      <c r="F39" s="33" t="s">
        <v>39</v>
      </c>
      <c r="G39" s="35"/>
      <c r="T39" s="74"/>
      <c r="U39" s="79"/>
      <c r="V39" s="39"/>
      <c r="W39" s="39"/>
      <c r="X39" s="39"/>
      <c r="Y39" s="39"/>
      <c r="Z39" s="39"/>
      <c r="AA39" s="78"/>
      <c r="AB39" s="78"/>
      <c r="AC39" s="84"/>
      <c r="AF39" s="32" t="s">
        <v>52</v>
      </c>
      <c r="AG39" s="33"/>
      <c r="AH39" s="37"/>
      <c r="AI39" s="60">
        <v>0.6</v>
      </c>
      <c r="AJ39" s="37"/>
      <c r="AK39" s="33"/>
      <c r="AL39" s="33"/>
      <c r="AM39" s="33"/>
      <c r="AN39" s="35"/>
      <c r="BN39" s="100"/>
      <c r="BO39" s="100"/>
    </row>
    <row r="40" spans="2:73" ht="10.5" customHeight="1" thickBot="1" x14ac:dyDescent="0.2">
      <c r="T40" s="94"/>
      <c r="U40" s="95"/>
      <c r="V40" s="96"/>
      <c r="W40" s="96"/>
      <c r="X40" s="96"/>
      <c r="Y40" s="96"/>
      <c r="Z40" s="96"/>
      <c r="AA40" s="97"/>
      <c r="AB40" s="97"/>
      <c r="AC40" s="93"/>
      <c r="AF40" s="32" t="s">
        <v>55</v>
      </c>
      <c r="AG40" s="33"/>
      <c r="AH40" s="37"/>
      <c r="AI40" s="85">
        <f>'入力シート（実証技術）'!L34</f>
        <v>21.4</v>
      </c>
      <c r="AJ40" s="85"/>
      <c r="AK40" s="33" t="s">
        <v>400</v>
      </c>
      <c r="AL40" s="33"/>
      <c r="AM40" s="33"/>
      <c r="AN40" s="35"/>
      <c r="BN40" s="100"/>
      <c r="BO40" s="100"/>
    </row>
    <row r="41" spans="2:73" ht="10.5" customHeight="1" thickTop="1" x14ac:dyDescent="0.15">
      <c r="W41" s="87"/>
      <c r="X41" s="87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N41" s="39"/>
      <c r="AO41" s="39"/>
      <c r="AP41" s="75"/>
      <c r="AQ41" s="75"/>
      <c r="AR41" s="39"/>
      <c r="AS41" s="39"/>
      <c r="AT41" s="29"/>
      <c r="AU41" s="30"/>
      <c r="AV41" s="30" t="s">
        <v>401</v>
      </c>
      <c r="AW41" s="30"/>
      <c r="AX41" s="30"/>
      <c r="AY41" s="30"/>
      <c r="AZ41" s="30"/>
      <c r="BA41" s="31"/>
      <c r="BG41" s="173" t="s">
        <v>231</v>
      </c>
      <c r="BN41" s="100"/>
      <c r="BO41" s="100"/>
    </row>
    <row r="42" spans="2:73" ht="10.5" customHeight="1" x14ac:dyDescent="0.15">
      <c r="P42" s="208"/>
      <c r="Q42" s="208"/>
      <c r="R42" s="208"/>
      <c r="S42" s="208"/>
      <c r="T42" s="208"/>
      <c r="U42" s="208"/>
      <c r="V42" s="208"/>
      <c r="W42" s="87"/>
      <c r="AT42" s="32" t="s">
        <v>402</v>
      </c>
      <c r="AU42" s="33"/>
      <c r="AV42" s="33"/>
      <c r="AW42" s="37">
        <v>0</v>
      </c>
      <c r="AX42" s="37"/>
      <c r="AY42" s="37"/>
      <c r="AZ42" s="33" t="s">
        <v>25</v>
      </c>
      <c r="BA42" s="35"/>
      <c r="BN42" s="100"/>
      <c r="BO42" s="100"/>
    </row>
    <row r="43" spans="2:73" ht="10.5" customHeight="1" x14ac:dyDescent="0.15">
      <c r="P43" s="208"/>
      <c r="Q43" s="208"/>
      <c r="R43" s="208"/>
      <c r="S43" s="209"/>
      <c r="T43" s="210"/>
      <c r="U43" s="208"/>
      <c r="V43" s="208"/>
      <c r="W43" s="87"/>
      <c r="AT43" s="99" t="s">
        <v>403</v>
      </c>
      <c r="AU43" s="33"/>
      <c r="AV43" s="33"/>
      <c r="AW43" s="37">
        <f>AS47</f>
        <v>11100</v>
      </c>
      <c r="AX43" s="37"/>
      <c r="AY43" s="37"/>
      <c r="AZ43" s="33" t="s">
        <v>39</v>
      </c>
      <c r="BA43" s="35"/>
      <c r="BG43" s="174" t="s">
        <v>249</v>
      </c>
      <c r="BH43" s="40" t="s">
        <v>223</v>
      </c>
      <c r="BN43" s="179"/>
      <c r="BO43" s="179"/>
      <c r="BQ43" s="100" t="s">
        <v>237</v>
      </c>
      <c r="BS43" s="182">
        <f>'入力シート（実証技術）'!L51</f>
        <v>62.9</v>
      </c>
      <c r="BU43" s="40" t="s">
        <v>233</v>
      </c>
    </row>
    <row r="44" spans="2:73" ht="10.5" customHeight="1" x14ac:dyDescent="0.15">
      <c r="P44" s="208"/>
      <c r="Q44" s="208"/>
      <c r="R44" s="208"/>
      <c r="S44" s="211"/>
      <c r="T44" s="211"/>
      <c r="U44" s="208"/>
      <c r="V44" s="208"/>
      <c r="AT44" s="32" t="s">
        <v>62</v>
      </c>
      <c r="AU44" s="33"/>
      <c r="AV44" s="37"/>
      <c r="AW44" s="37"/>
      <c r="AX44" s="60">
        <v>0.85</v>
      </c>
      <c r="AY44" s="37"/>
      <c r="AZ44" s="33"/>
      <c r="BA44" s="35"/>
      <c r="BH44" s="40" t="s">
        <v>224</v>
      </c>
      <c r="BN44" s="178"/>
      <c r="BO44" s="178"/>
      <c r="BQ44" s="100" t="s">
        <v>237</v>
      </c>
      <c r="BS44" s="181">
        <f>AD49</f>
        <v>66.666666666666671</v>
      </c>
      <c r="BU44" s="40" t="s">
        <v>234</v>
      </c>
    </row>
    <row r="45" spans="2:73" ht="10.5" customHeight="1" x14ac:dyDescent="0.15">
      <c r="P45" s="208"/>
      <c r="Q45" s="208"/>
      <c r="R45" s="208"/>
      <c r="S45" s="209"/>
      <c r="T45" s="211"/>
      <c r="U45" s="208"/>
      <c r="V45" s="208"/>
      <c r="AA45" s="29"/>
      <c r="AB45" s="30" t="s">
        <v>65</v>
      </c>
      <c r="AC45" s="30"/>
      <c r="AD45" s="30"/>
      <c r="AE45" s="30"/>
      <c r="AF45" s="30"/>
      <c r="AG45" s="31"/>
      <c r="BN45" s="100"/>
      <c r="BO45" s="100"/>
    </row>
    <row r="46" spans="2:73" ht="10.5" customHeight="1" x14ac:dyDescent="0.15">
      <c r="P46" s="208"/>
      <c r="Q46" s="208"/>
      <c r="R46" s="208"/>
      <c r="S46" s="209"/>
      <c r="T46" s="211"/>
      <c r="U46" s="208"/>
      <c r="V46" s="208"/>
      <c r="W46" s="87"/>
      <c r="X46" s="51"/>
      <c r="Y46" s="51"/>
      <c r="Z46" s="51"/>
      <c r="AA46" s="32" t="s">
        <v>404</v>
      </c>
      <c r="AB46" s="33"/>
      <c r="AC46" s="33"/>
      <c r="AD46" s="45">
        <f>AC25+S43</f>
        <v>145.69999999999999</v>
      </c>
      <c r="AE46" s="37"/>
      <c r="AF46" s="33" t="s">
        <v>25</v>
      </c>
      <c r="AG46" s="35"/>
      <c r="AR46" s="40" t="str">
        <f>"q= "&amp;FIXED(AC25,1)&amp;" × ("&amp;FIXED(X33,0)&amp;"　- "&amp;FIXED(AC29,0)&amp;") ×1.3×4.186"</f>
        <v>q= 145.7 × (37　- 23) ×1.3×4.186</v>
      </c>
      <c r="BN46" s="100"/>
      <c r="BO46" s="100"/>
    </row>
    <row r="47" spans="2:73" ht="10.5" customHeight="1" x14ac:dyDescent="0.15">
      <c r="P47" s="208"/>
      <c r="Q47" s="208"/>
      <c r="R47" s="208"/>
      <c r="S47" s="208"/>
      <c r="T47" s="208"/>
      <c r="U47" s="208"/>
      <c r="V47" s="208"/>
      <c r="W47" s="87"/>
      <c r="AA47" s="32" t="s">
        <v>405</v>
      </c>
      <c r="AB47" s="33"/>
      <c r="AC47" s="33"/>
      <c r="AD47" s="41">
        <f>K8-K8*K10/100*AA38+W8-W8*W10/100*Z36+AQ15-AQ15*AQ17/100*AA39+AY15-AY15*AY17/100*AA40</f>
        <v>3.0599999999999996</v>
      </c>
      <c r="AE47" s="41"/>
      <c r="AF47" s="33" t="s">
        <v>26</v>
      </c>
      <c r="AG47" s="35"/>
      <c r="AR47" s="100" t="s">
        <v>406</v>
      </c>
      <c r="AS47" s="75">
        <f>ROUND(AC25*(X33-AC29)*1.3*4.186,0)</f>
        <v>11100</v>
      </c>
      <c r="AT47" s="75"/>
      <c r="AU47" s="75"/>
      <c r="AV47" s="39" t="s">
        <v>39</v>
      </c>
      <c r="AW47" s="39"/>
      <c r="BG47" s="173" t="s">
        <v>246</v>
      </c>
      <c r="BN47" s="100"/>
      <c r="BO47" s="100"/>
    </row>
    <row r="48" spans="2:73" ht="10.5" customHeight="1" x14ac:dyDescent="0.15">
      <c r="P48" s="208"/>
      <c r="Q48" s="208"/>
      <c r="R48" s="208"/>
      <c r="S48" s="208"/>
      <c r="T48" s="208"/>
      <c r="U48" s="208"/>
      <c r="V48" s="208"/>
      <c r="W48" s="87"/>
      <c r="AA48" s="32" t="s">
        <v>407</v>
      </c>
      <c r="AB48" s="33"/>
      <c r="AC48" s="33"/>
      <c r="AD48" s="41">
        <f>AD47/AD46*100</f>
        <v>2.1002059025394644</v>
      </c>
      <c r="AE48" s="41"/>
      <c r="AF48" s="33" t="s">
        <v>408</v>
      </c>
      <c r="AG48" s="35"/>
      <c r="BN48" s="100"/>
      <c r="BO48" s="100"/>
    </row>
    <row r="49" spans="2:68" ht="10.5" customHeight="1" x14ac:dyDescent="0.15">
      <c r="P49" s="208"/>
      <c r="Q49" s="208"/>
      <c r="R49" s="208"/>
      <c r="S49" s="209"/>
      <c r="T49" s="210"/>
      <c r="U49" s="208"/>
      <c r="V49" s="208"/>
      <c r="W49" s="87"/>
      <c r="AA49" s="32" t="s">
        <v>409</v>
      </c>
      <c r="AB49" s="33"/>
      <c r="AC49" s="33"/>
      <c r="AD49" s="45">
        <f>(K8*K10/100*(1-AA38)+W8*W10/100*(1-Z36)+AQ15*AQ17/100*(1-AA39)+AY15*AY17/100*(1-AA40))/AD47*100</f>
        <v>66.666666666666671</v>
      </c>
      <c r="AE49" s="41"/>
      <c r="AF49" s="33" t="s">
        <v>408</v>
      </c>
      <c r="AG49" s="35"/>
      <c r="AH49" s="67"/>
      <c r="AR49" s="111" t="s">
        <v>410</v>
      </c>
      <c r="AS49" s="111"/>
      <c r="AT49" s="111"/>
      <c r="AU49" s="111"/>
      <c r="AV49" s="111"/>
      <c r="AW49" s="111"/>
      <c r="AX49" s="111"/>
      <c r="AY49" s="111"/>
      <c r="AZ49" s="111"/>
      <c r="BA49" s="111"/>
      <c r="BN49" s="100"/>
      <c r="BO49" s="100"/>
    </row>
    <row r="50" spans="2:68" ht="10.5" customHeight="1" x14ac:dyDescent="0.15">
      <c r="P50" s="208"/>
      <c r="Q50" s="208"/>
      <c r="R50" s="208"/>
      <c r="S50" s="211"/>
      <c r="T50" s="211"/>
      <c r="U50" s="208"/>
      <c r="V50" s="208"/>
      <c r="W50" s="87"/>
      <c r="AH50" s="67"/>
      <c r="AI50" s="39"/>
      <c r="AP50" s="75"/>
      <c r="AQ50" s="75"/>
      <c r="AR50" s="111" t="s">
        <v>411</v>
      </c>
      <c r="AS50" s="111" t="str">
        <f>"＜　"</f>
        <v>＜　</v>
      </c>
      <c r="AT50" s="111" t="s">
        <v>412</v>
      </c>
      <c r="AU50" s="113" t="s">
        <v>413</v>
      </c>
      <c r="AV50" s="114">
        <f>ROUND(AW38,-1)</f>
        <v>16590</v>
      </c>
      <c r="AW50" s="114"/>
      <c r="AX50" s="114"/>
      <c r="AY50" s="115" t="s">
        <v>39</v>
      </c>
      <c r="AZ50" s="115"/>
      <c r="BA50" s="111"/>
      <c r="BH50" s="39" t="s">
        <v>204</v>
      </c>
      <c r="BI50" s="39"/>
      <c r="BJ50" s="39"/>
      <c r="BN50" s="178" t="s">
        <v>240</v>
      </c>
      <c r="BO50" s="178"/>
      <c r="BP50" s="189">
        <v>25</v>
      </c>
    </row>
    <row r="51" spans="2:68" ht="10.5" customHeight="1" x14ac:dyDescent="0.15">
      <c r="P51" s="208"/>
      <c r="Q51" s="208"/>
      <c r="R51" s="208"/>
      <c r="S51" s="211"/>
      <c r="T51" s="211"/>
      <c r="U51" s="208"/>
      <c r="V51" s="208"/>
      <c r="W51" s="87"/>
      <c r="AH51" s="67"/>
      <c r="AI51" s="39"/>
      <c r="AJ51" s="39"/>
      <c r="AO51" s="39"/>
      <c r="AP51" s="75"/>
      <c r="AQ51" s="75"/>
      <c r="AR51" s="111"/>
      <c r="AS51" s="212"/>
      <c r="AT51" s="111"/>
      <c r="AU51" s="111"/>
      <c r="AV51" s="111"/>
      <c r="AW51" s="111"/>
      <c r="AX51" s="111"/>
      <c r="AY51" s="111"/>
      <c r="AZ51" s="111"/>
      <c r="BA51" s="111"/>
      <c r="BH51" s="40" t="s">
        <v>207</v>
      </c>
      <c r="BN51" s="178" t="s">
        <v>240</v>
      </c>
      <c r="BO51" s="178"/>
      <c r="BP51" s="189">
        <v>165</v>
      </c>
    </row>
    <row r="52" spans="2:68" ht="10.5" customHeight="1" x14ac:dyDescent="0.15">
      <c r="P52" s="208"/>
      <c r="Q52" s="208"/>
      <c r="R52" s="208"/>
      <c r="S52" s="209"/>
      <c r="T52" s="211"/>
      <c r="U52" s="208"/>
      <c r="V52" s="208"/>
      <c r="W52" s="87"/>
      <c r="AH52" s="67"/>
      <c r="AI52" s="39"/>
      <c r="AJ52" s="39"/>
      <c r="AN52" s="39"/>
      <c r="AO52" s="39"/>
      <c r="AP52" s="75"/>
      <c r="AQ52" s="75"/>
      <c r="AX52" s="111"/>
      <c r="AY52" s="111"/>
      <c r="AZ52" s="111"/>
      <c r="BA52" s="111"/>
    </row>
    <row r="53" spans="2:68" ht="10.5" customHeight="1" x14ac:dyDescent="0.15">
      <c r="P53" s="208"/>
      <c r="Q53" s="208"/>
      <c r="R53" s="208"/>
      <c r="S53" s="208"/>
      <c r="T53" s="208"/>
      <c r="U53" s="208"/>
      <c r="V53" s="208"/>
      <c r="W53" s="87"/>
      <c r="AI53" s="39"/>
      <c r="AJ53" s="39"/>
      <c r="AN53" s="39"/>
      <c r="AO53" s="39"/>
      <c r="AP53" s="75"/>
      <c r="AQ53" s="75"/>
      <c r="AR53" s="111"/>
      <c r="AS53" s="111"/>
      <c r="AT53" s="111"/>
      <c r="AU53" s="111"/>
      <c r="AV53" s="111"/>
      <c r="AW53" s="111"/>
      <c r="AX53" s="113"/>
      <c r="AY53" s="111"/>
      <c r="AZ53" s="111"/>
      <c r="BA53" s="111"/>
    </row>
    <row r="54" spans="2:68" ht="10.5" customHeight="1" x14ac:dyDescent="0.15">
      <c r="U54" s="43"/>
      <c r="V54" s="102"/>
      <c r="W54" s="87"/>
      <c r="AI54" s="39"/>
      <c r="AJ54" s="39"/>
      <c r="AN54" s="39"/>
      <c r="AO54" s="39"/>
      <c r="AP54" s="75"/>
      <c r="AQ54" s="75"/>
      <c r="AR54" s="39"/>
      <c r="AS54" s="39"/>
    </row>
    <row r="55" spans="2:68" ht="10.5" customHeight="1" thickBot="1" x14ac:dyDescent="0.2"/>
    <row r="56" spans="2:68" ht="10.5" customHeight="1" thickTop="1" x14ac:dyDescent="0.15">
      <c r="B56" s="104" t="s">
        <v>74</v>
      </c>
      <c r="C56" s="105"/>
      <c r="D56" s="105"/>
      <c r="E56" s="105"/>
      <c r="F56" s="105"/>
      <c r="G56" s="106"/>
      <c r="U56" s="68"/>
      <c r="V56" s="71" t="s">
        <v>75</v>
      </c>
      <c r="W56" s="71"/>
      <c r="X56" s="71"/>
      <c r="Y56" s="71"/>
      <c r="Z56" s="73"/>
      <c r="AA56" s="39"/>
      <c r="AB56" s="39"/>
      <c r="AI56" s="29"/>
      <c r="AJ56" s="30" t="s">
        <v>414</v>
      </c>
      <c r="AK56" s="30"/>
      <c r="AL56" s="30"/>
      <c r="AM56" s="30"/>
      <c r="AN56" s="31"/>
    </row>
    <row r="57" spans="2:68" ht="10.5" customHeight="1" thickBot="1" x14ac:dyDescent="0.2">
      <c r="B57" s="32" t="s">
        <v>415</v>
      </c>
      <c r="C57" s="33"/>
      <c r="D57" s="37">
        <f>(AD46+AK58-AD62)</f>
        <v>154.70999999999998</v>
      </c>
      <c r="E57" s="37"/>
      <c r="F57" s="33" t="s">
        <v>25</v>
      </c>
      <c r="G57" s="35"/>
      <c r="U57" s="107"/>
      <c r="V57" s="91" t="s">
        <v>416</v>
      </c>
      <c r="W57" s="92">
        <v>1</v>
      </c>
      <c r="X57" s="92"/>
      <c r="Y57" s="108" t="s">
        <v>417</v>
      </c>
      <c r="Z57" s="93"/>
      <c r="AA57" s="43"/>
      <c r="AB57" s="43"/>
      <c r="AI57" s="29" t="s">
        <v>78</v>
      </c>
      <c r="AJ57" s="30"/>
      <c r="AK57" s="109">
        <v>1.7000000000000001E-2</v>
      </c>
      <c r="AL57" s="110"/>
      <c r="AM57" s="30" t="s">
        <v>418</v>
      </c>
      <c r="AN57" s="31"/>
    </row>
    <row r="58" spans="2:68" ht="10.5" customHeight="1" thickTop="1" x14ac:dyDescent="0.15">
      <c r="B58" s="32" t="s">
        <v>419</v>
      </c>
      <c r="C58" s="33"/>
      <c r="D58" s="41">
        <f>(AD47-AD63)</f>
        <v>0</v>
      </c>
      <c r="E58" s="41"/>
      <c r="F58" s="33" t="s">
        <v>26</v>
      </c>
      <c r="G58" s="35"/>
      <c r="U58" s="43"/>
      <c r="V58" s="102"/>
      <c r="W58" s="87"/>
      <c r="X58" s="87"/>
      <c r="Y58" s="43"/>
      <c r="Z58" s="43"/>
      <c r="AA58" s="43"/>
      <c r="AB58" s="43"/>
      <c r="AI58" s="32" t="s">
        <v>420</v>
      </c>
      <c r="AJ58" s="33"/>
      <c r="AK58" s="37">
        <f>AK59/0.2*100/1000</f>
        <v>26.009999999999998</v>
      </c>
      <c r="AL58" s="37"/>
      <c r="AM58" s="33" t="s">
        <v>25</v>
      </c>
      <c r="AN58" s="35"/>
    </row>
    <row r="59" spans="2:68" ht="10.5" customHeight="1" x14ac:dyDescent="0.15">
      <c r="U59" s="43"/>
      <c r="V59" s="102"/>
      <c r="W59" s="87"/>
      <c r="AI59" s="32" t="s">
        <v>421</v>
      </c>
      <c r="AJ59" s="33"/>
      <c r="AK59" s="37">
        <f>(AD47)*AK57*1000</f>
        <v>52.019999999999996</v>
      </c>
      <c r="AL59" s="41"/>
      <c r="AM59" s="33" t="s">
        <v>80</v>
      </c>
      <c r="AN59" s="35"/>
    </row>
    <row r="60" spans="2:68" ht="10.5" customHeight="1" x14ac:dyDescent="0.15">
      <c r="U60" s="43"/>
      <c r="V60" s="102"/>
      <c r="W60" s="87"/>
    </row>
    <row r="61" spans="2:68" ht="10.5" customHeight="1" x14ac:dyDescent="0.15">
      <c r="X61" s="51"/>
      <c r="Y61" s="51"/>
      <c r="Z61" s="52"/>
      <c r="AA61" s="29"/>
      <c r="AB61" s="30" t="s">
        <v>87</v>
      </c>
      <c r="AC61" s="30"/>
      <c r="AD61" s="30"/>
      <c r="AE61" s="30"/>
      <c r="AF61" s="30"/>
      <c r="AG61" s="31"/>
      <c r="AH61" s="39"/>
    </row>
    <row r="62" spans="2:68" ht="10.5" customHeight="1" x14ac:dyDescent="0.15">
      <c r="X62" s="39"/>
      <c r="Y62" s="39"/>
      <c r="Z62" s="112"/>
      <c r="AA62" s="32" t="s">
        <v>422</v>
      </c>
      <c r="AB62" s="33"/>
      <c r="AC62" s="33"/>
      <c r="AD62" s="45">
        <f>AD63/AD64*100</f>
        <v>17</v>
      </c>
      <c r="AE62" s="37"/>
      <c r="AF62" s="33" t="s">
        <v>70</v>
      </c>
      <c r="AG62" s="35"/>
      <c r="AP62" s="66"/>
      <c r="AQ62" s="75"/>
      <c r="AR62" s="39"/>
    </row>
    <row r="63" spans="2:68" ht="10.5" customHeight="1" x14ac:dyDescent="0.15">
      <c r="X63" s="39"/>
      <c r="Y63" s="39"/>
      <c r="Z63" s="39"/>
      <c r="AA63" s="32" t="s">
        <v>423</v>
      </c>
      <c r="AB63" s="33"/>
      <c r="AC63" s="33"/>
      <c r="AD63" s="41">
        <f>(AD47)*W57</f>
        <v>3.0599999999999996</v>
      </c>
      <c r="AE63" s="41"/>
      <c r="AF63" s="33" t="s">
        <v>26</v>
      </c>
      <c r="AG63" s="35"/>
    </row>
    <row r="64" spans="2:68" ht="10.5" customHeight="1" x14ac:dyDescent="0.15">
      <c r="AA64" s="32" t="s">
        <v>424</v>
      </c>
      <c r="AB64" s="33"/>
      <c r="AC64" s="33"/>
      <c r="AD64" s="41">
        <f>100-BP31</f>
        <v>18</v>
      </c>
      <c r="AE64" s="41"/>
      <c r="AF64" s="33" t="s">
        <v>425</v>
      </c>
      <c r="AG64" s="35"/>
    </row>
    <row r="65" spans="2:48" ht="10.5" customHeight="1" x14ac:dyDescent="0.15">
      <c r="AA65" s="32" t="s">
        <v>426</v>
      </c>
      <c r="AB65" s="33"/>
      <c r="AC65" s="33"/>
      <c r="AD65" s="45">
        <f>AD49</f>
        <v>66.666666666666671</v>
      </c>
      <c r="AE65" s="41"/>
      <c r="AF65" s="33" t="s">
        <v>408</v>
      </c>
      <c r="AG65" s="35"/>
    </row>
    <row r="73" spans="2:48" ht="10.5" customHeight="1" x14ac:dyDescent="0.15">
      <c r="B73" s="39"/>
      <c r="C73" s="39"/>
      <c r="D73" s="39"/>
      <c r="E73" s="117"/>
      <c r="F73" s="67"/>
      <c r="G73" s="39"/>
      <c r="H73" s="39"/>
    </row>
    <row r="74" spans="2:48" ht="10.5" customHeight="1" x14ac:dyDescent="0.15">
      <c r="B74" s="39"/>
      <c r="C74" s="39"/>
      <c r="D74" s="39"/>
      <c r="E74" s="117"/>
      <c r="F74" s="67"/>
      <c r="G74" s="39"/>
      <c r="H74" s="39"/>
    </row>
    <row r="75" spans="2:48" ht="10.5" customHeight="1" x14ac:dyDescent="0.15">
      <c r="B75" s="39"/>
      <c r="C75" s="39"/>
      <c r="D75" s="39"/>
      <c r="E75" s="117"/>
      <c r="F75" s="67"/>
      <c r="G75" s="39"/>
      <c r="H75" s="39"/>
    </row>
    <row r="76" spans="2:48" ht="10.5" customHeight="1" thickBot="1" x14ac:dyDescent="0.2">
      <c r="AA76" s="43"/>
      <c r="AB76" s="43"/>
    </row>
    <row r="77" spans="2:48" ht="10.5" customHeight="1" thickTop="1" x14ac:dyDescent="0.15">
      <c r="U77" s="68"/>
      <c r="V77" s="71" t="s">
        <v>427</v>
      </c>
      <c r="W77" s="71"/>
      <c r="X77" s="71"/>
      <c r="Y77" s="71"/>
      <c r="Z77" s="73"/>
      <c r="AV77" s="100"/>
    </row>
    <row r="78" spans="2:48" ht="10.5" customHeight="1" thickBot="1" x14ac:dyDescent="0.2">
      <c r="U78" s="107"/>
      <c r="V78" s="91"/>
      <c r="W78" s="92"/>
      <c r="X78" s="92"/>
      <c r="Y78" s="108"/>
      <c r="Z78" s="93"/>
    </row>
    <row r="79" spans="2:48" ht="10.5" customHeight="1" thickTop="1" x14ac:dyDescent="0.15"/>
    <row r="81" spans="5:27" ht="10.5" customHeight="1" x14ac:dyDescent="0.15">
      <c r="U81" s="29"/>
      <c r="V81" s="30" t="s">
        <v>428</v>
      </c>
      <c r="W81" s="30"/>
      <c r="X81" s="30"/>
      <c r="Y81" s="30"/>
      <c r="Z81" s="30"/>
      <c r="AA81" s="31"/>
    </row>
    <row r="82" spans="5:27" ht="10.5" customHeight="1" x14ac:dyDescent="0.15">
      <c r="U82" s="32" t="s">
        <v>429</v>
      </c>
      <c r="V82" s="33"/>
      <c r="W82" s="33"/>
      <c r="X82" s="45">
        <f>X83/X84*100</f>
        <v>0</v>
      </c>
      <c r="Y82" s="37"/>
      <c r="Z82" s="33" t="s">
        <v>26</v>
      </c>
      <c r="AA82" s="35"/>
    </row>
    <row r="83" spans="5:27" ht="10.5" customHeight="1" x14ac:dyDescent="0.15">
      <c r="U83" s="32" t="s">
        <v>430</v>
      </c>
      <c r="V83" s="33"/>
      <c r="W83" s="33"/>
      <c r="X83" s="41">
        <f>AD67*(1-AD69/100)</f>
        <v>0</v>
      </c>
      <c r="Y83" s="41"/>
      <c r="Z83" s="33" t="s">
        <v>26</v>
      </c>
      <c r="AA83" s="35"/>
    </row>
    <row r="84" spans="5:27" ht="10.5" customHeight="1" x14ac:dyDescent="0.15">
      <c r="U84" s="32" t="s">
        <v>431</v>
      </c>
      <c r="V84" s="33"/>
      <c r="W84" s="33"/>
      <c r="X84" s="41">
        <v>70</v>
      </c>
      <c r="Y84" s="41"/>
      <c r="Z84" s="33" t="s">
        <v>425</v>
      </c>
      <c r="AA84" s="35"/>
    </row>
    <row r="93" spans="5:27" ht="10.5" customHeight="1" x14ac:dyDescent="0.15">
      <c r="E93" s="65"/>
    </row>
  </sheetData>
  <sheetProtection algorithmName="SHA-512" hashValue="aGXCzriWMkzP2APXCsxVLTVw/ygImzmZGpxgxgM4PSxvK4ig2cZsn2PcHaQpxG2UYMtzxnaavtRgDFe7DyH8nA==" saltValue="HncYEkpkDmzVZd9X4YbeTg==" spinCount="100000" sheet="1" objects="1" scenarios="1" selectLockedCells="1" selectUnlockedCells="1"/>
  <phoneticPr fontId="2"/>
  <printOptions horizontalCentered="1"/>
  <pageMargins left="0.31496062992125984" right="0.31496062992125984" top="0.74803149606299213" bottom="0.35433070866141736" header="0.31496062992125984" footer="0.31496062992125984"/>
  <pageSetup paperSize="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A93"/>
  <sheetViews>
    <sheetView view="pageBreakPreview" topLeftCell="A7" zoomScale="85" zoomScaleNormal="100" zoomScaleSheetLayoutView="85" workbookViewId="0">
      <selection activeCell="BY29" sqref="BY29"/>
    </sheetView>
  </sheetViews>
  <sheetFormatPr defaultColWidth="2.5" defaultRowHeight="10.5" customHeight="1" x14ac:dyDescent="0.15"/>
  <cols>
    <col min="1" max="25" width="2.5" style="40"/>
    <col min="26" max="26" width="3" style="40" bestFit="1" customWidth="1"/>
    <col min="27" max="46" width="2.5" style="40"/>
    <col min="47" max="47" width="2.5" style="40" customWidth="1"/>
    <col min="48" max="48" width="2.625" style="40" customWidth="1"/>
    <col min="49" max="49" width="2.5" style="40" customWidth="1"/>
    <col min="50" max="50" width="2.625" style="40" customWidth="1"/>
    <col min="51" max="65" width="2.5" style="40"/>
    <col min="66" max="67" width="2.5" style="100"/>
    <col min="68" max="68" width="5.375" style="40" customWidth="1"/>
    <col min="69" max="70" width="2.5" style="40"/>
    <col min="71" max="71" width="4.5" style="40" customWidth="1"/>
    <col min="72" max="73" width="2.5" style="40"/>
    <col min="74" max="74" width="5.375" style="40" customWidth="1"/>
    <col min="75" max="76" width="2.5" style="40"/>
    <col min="77" max="77" width="5.25" style="40" customWidth="1"/>
    <col min="78" max="279" width="2.5" style="40"/>
    <col min="280" max="280" width="3" style="40" bestFit="1" customWidth="1"/>
    <col min="281" max="300" width="2.5" style="40"/>
    <col min="301" max="301" width="2.5" style="40" customWidth="1"/>
    <col min="302" max="302" width="2.5" style="40"/>
    <col min="303" max="303" width="2.5" style="40" customWidth="1"/>
    <col min="304" max="535" width="2.5" style="40"/>
    <col min="536" max="536" width="3" style="40" bestFit="1" customWidth="1"/>
    <col min="537" max="556" width="2.5" style="40"/>
    <col min="557" max="557" width="2.5" style="40" customWidth="1"/>
    <col min="558" max="558" width="2.5" style="40"/>
    <col min="559" max="559" width="2.5" style="40" customWidth="1"/>
    <col min="560" max="791" width="2.5" style="40"/>
    <col min="792" max="792" width="3" style="40" bestFit="1" customWidth="1"/>
    <col min="793" max="812" width="2.5" style="40"/>
    <col min="813" max="813" width="2.5" style="40" customWidth="1"/>
    <col min="814" max="814" width="2.5" style="40"/>
    <col min="815" max="815" width="2.5" style="40" customWidth="1"/>
    <col min="816" max="1047" width="2.5" style="40"/>
    <col min="1048" max="1048" width="3" style="40" bestFit="1" customWidth="1"/>
    <col min="1049" max="1068" width="2.5" style="40"/>
    <col min="1069" max="1069" width="2.5" style="40" customWidth="1"/>
    <col min="1070" max="1070" width="2.5" style="40"/>
    <col min="1071" max="1071" width="2.5" style="40" customWidth="1"/>
    <col min="1072" max="1303" width="2.5" style="40"/>
    <col min="1304" max="1304" width="3" style="40" bestFit="1" customWidth="1"/>
    <col min="1305" max="1324" width="2.5" style="40"/>
    <col min="1325" max="1325" width="2.5" style="40" customWidth="1"/>
    <col min="1326" max="1326" width="2.5" style="40"/>
    <col min="1327" max="1327" width="2.5" style="40" customWidth="1"/>
    <col min="1328" max="1559" width="2.5" style="40"/>
    <col min="1560" max="1560" width="3" style="40" bestFit="1" customWidth="1"/>
    <col min="1561" max="1580" width="2.5" style="40"/>
    <col min="1581" max="1581" width="2.5" style="40" customWidth="1"/>
    <col min="1582" max="1582" width="2.5" style="40"/>
    <col min="1583" max="1583" width="2.5" style="40" customWidth="1"/>
    <col min="1584" max="1815" width="2.5" style="40"/>
    <col min="1816" max="1816" width="3" style="40" bestFit="1" customWidth="1"/>
    <col min="1817" max="1836" width="2.5" style="40"/>
    <col min="1837" max="1837" width="2.5" style="40" customWidth="1"/>
    <col min="1838" max="1838" width="2.5" style="40"/>
    <col min="1839" max="1839" width="2.5" style="40" customWidth="1"/>
    <col min="1840" max="2071" width="2.5" style="40"/>
    <col min="2072" max="2072" width="3" style="40" bestFit="1" customWidth="1"/>
    <col min="2073" max="2092" width="2.5" style="40"/>
    <col min="2093" max="2093" width="2.5" style="40" customWidth="1"/>
    <col min="2094" max="2094" width="2.5" style="40"/>
    <col min="2095" max="2095" width="2.5" style="40" customWidth="1"/>
    <col min="2096" max="2327" width="2.5" style="40"/>
    <col min="2328" max="2328" width="3" style="40" bestFit="1" customWidth="1"/>
    <col min="2329" max="2348" width="2.5" style="40"/>
    <col min="2349" max="2349" width="2.5" style="40" customWidth="1"/>
    <col min="2350" max="2350" width="2.5" style="40"/>
    <col min="2351" max="2351" width="2.5" style="40" customWidth="1"/>
    <col min="2352" max="2583" width="2.5" style="40"/>
    <col min="2584" max="2584" width="3" style="40" bestFit="1" customWidth="1"/>
    <col min="2585" max="2604" width="2.5" style="40"/>
    <col min="2605" max="2605" width="2.5" style="40" customWidth="1"/>
    <col min="2606" max="2606" width="2.5" style="40"/>
    <col min="2607" max="2607" width="2.5" style="40" customWidth="1"/>
    <col min="2608" max="2839" width="2.5" style="40"/>
    <col min="2840" max="2840" width="3" style="40" bestFit="1" customWidth="1"/>
    <col min="2841" max="2860" width="2.5" style="40"/>
    <col min="2861" max="2861" width="2.5" style="40" customWidth="1"/>
    <col min="2862" max="2862" width="2.5" style="40"/>
    <col min="2863" max="2863" width="2.5" style="40" customWidth="1"/>
    <col min="2864" max="3095" width="2.5" style="40"/>
    <col min="3096" max="3096" width="3" style="40" bestFit="1" customWidth="1"/>
    <col min="3097" max="3116" width="2.5" style="40"/>
    <col min="3117" max="3117" width="2.5" style="40" customWidth="1"/>
    <col min="3118" max="3118" width="2.5" style="40"/>
    <col min="3119" max="3119" width="2.5" style="40" customWidth="1"/>
    <col min="3120" max="3351" width="2.5" style="40"/>
    <col min="3352" max="3352" width="3" style="40" bestFit="1" customWidth="1"/>
    <col min="3353" max="3372" width="2.5" style="40"/>
    <col min="3373" max="3373" width="2.5" style="40" customWidth="1"/>
    <col min="3374" max="3374" width="2.5" style="40"/>
    <col min="3375" max="3375" width="2.5" style="40" customWidth="1"/>
    <col min="3376" max="3607" width="2.5" style="40"/>
    <col min="3608" max="3608" width="3" style="40" bestFit="1" customWidth="1"/>
    <col min="3609" max="3628" width="2.5" style="40"/>
    <col min="3629" max="3629" width="2.5" style="40" customWidth="1"/>
    <col min="3630" max="3630" width="2.5" style="40"/>
    <col min="3631" max="3631" width="2.5" style="40" customWidth="1"/>
    <col min="3632" max="3863" width="2.5" style="40"/>
    <col min="3864" max="3864" width="3" style="40" bestFit="1" customWidth="1"/>
    <col min="3865" max="3884" width="2.5" style="40"/>
    <col min="3885" max="3885" width="2.5" style="40" customWidth="1"/>
    <col min="3886" max="3886" width="2.5" style="40"/>
    <col min="3887" max="3887" width="2.5" style="40" customWidth="1"/>
    <col min="3888" max="4119" width="2.5" style="40"/>
    <col min="4120" max="4120" width="3" style="40" bestFit="1" customWidth="1"/>
    <col min="4121" max="4140" width="2.5" style="40"/>
    <col min="4141" max="4141" width="2.5" style="40" customWidth="1"/>
    <col min="4142" max="4142" width="2.5" style="40"/>
    <col min="4143" max="4143" width="2.5" style="40" customWidth="1"/>
    <col min="4144" max="4375" width="2.5" style="40"/>
    <col min="4376" max="4376" width="3" style="40" bestFit="1" customWidth="1"/>
    <col min="4377" max="4396" width="2.5" style="40"/>
    <col min="4397" max="4397" width="2.5" style="40" customWidth="1"/>
    <col min="4398" max="4398" width="2.5" style="40"/>
    <col min="4399" max="4399" width="2.5" style="40" customWidth="1"/>
    <col min="4400" max="4631" width="2.5" style="40"/>
    <col min="4632" max="4632" width="3" style="40" bestFit="1" customWidth="1"/>
    <col min="4633" max="4652" width="2.5" style="40"/>
    <col min="4653" max="4653" width="2.5" style="40" customWidth="1"/>
    <col min="4654" max="4654" width="2.5" style="40"/>
    <col min="4655" max="4655" width="2.5" style="40" customWidth="1"/>
    <col min="4656" max="4887" width="2.5" style="40"/>
    <col min="4888" max="4888" width="3" style="40" bestFit="1" customWidth="1"/>
    <col min="4889" max="4908" width="2.5" style="40"/>
    <col min="4909" max="4909" width="2.5" style="40" customWidth="1"/>
    <col min="4910" max="4910" width="2.5" style="40"/>
    <col min="4911" max="4911" width="2.5" style="40" customWidth="1"/>
    <col min="4912" max="5143" width="2.5" style="40"/>
    <col min="5144" max="5144" width="3" style="40" bestFit="1" customWidth="1"/>
    <col min="5145" max="5164" width="2.5" style="40"/>
    <col min="5165" max="5165" width="2.5" style="40" customWidth="1"/>
    <col min="5166" max="5166" width="2.5" style="40"/>
    <col min="5167" max="5167" width="2.5" style="40" customWidth="1"/>
    <col min="5168" max="5399" width="2.5" style="40"/>
    <col min="5400" max="5400" width="3" style="40" bestFit="1" customWidth="1"/>
    <col min="5401" max="5420" width="2.5" style="40"/>
    <col min="5421" max="5421" width="2.5" style="40" customWidth="1"/>
    <col min="5422" max="5422" width="2.5" style="40"/>
    <col min="5423" max="5423" width="2.5" style="40" customWidth="1"/>
    <col min="5424" max="5655" width="2.5" style="40"/>
    <col min="5656" max="5656" width="3" style="40" bestFit="1" customWidth="1"/>
    <col min="5657" max="5676" width="2.5" style="40"/>
    <col min="5677" max="5677" width="2.5" style="40" customWidth="1"/>
    <col min="5678" max="5678" width="2.5" style="40"/>
    <col min="5679" max="5679" width="2.5" style="40" customWidth="1"/>
    <col min="5680" max="5911" width="2.5" style="40"/>
    <col min="5912" max="5912" width="3" style="40" bestFit="1" customWidth="1"/>
    <col min="5913" max="5932" width="2.5" style="40"/>
    <col min="5933" max="5933" width="2.5" style="40" customWidth="1"/>
    <col min="5934" max="5934" width="2.5" style="40"/>
    <col min="5935" max="5935" width="2.5" style="40" customWidth="1"/>
    <col min="5936" max="6167" width="2.5" style="40"/>
    <col min="6168" max="6168" width="3" style="40" bestFit="1" customWidth="1"/>
    <col min="6169" max="6188" width="2.5" style="40"/>
    <col min="6189" max="6189" width="2.5" style="40" customWidth="1"/>
    <col min="6190" max="6190" width="2.5" style="40"/>
    <col min="6191" max="6191" width="2.5" style="40" customWidth="1"/>
    <col min="6192" max="6423" width="2.5" style="40"/>
    <col min="6424" max="6424" width="3" style="40" bestFit="1" customWidth="1"/>
    <col min="6425" max="6444" width="2.5" style="40"/>
    <col min="6445" max="6445" width="2.5" style="40" customWidth="1"/>
    <col min="6446" max="6446" width="2.5" style="40"/>
    <col min="6447" max="6447" width="2.5" style="40" customWidth="1"/>
    <col min="6448" max="6679" width="2.5" style="40"/>
    <col min="6680" max="6680" width="3" style="40" bestFit="1" customWidth="1"/>
    <col min="6681" max="6700" width="2.5" style="40"/>
    <col min="6701" max="6701" width="2.5" style="40" customWidth="1"/>
    <col min="6702" max="6702" width="2.5" style="40"/>
    <col min="6703" max="6703" width="2.5" style="40" customWidth="1"/>
    <col min="6704" max="6935" width="2.5" style="40"/>
    <col min="6936" max="6936" width="3" style="40" bestFit="1" customWidth="1"/>
    <col min="6937" max="6956" width="2.5" style="40"/>
    <col min="6957" max="6957" width="2.5" style="40" customWidth="1"/>
    <col min="6958" max="6958" width="2.5" style="40"/>
    <col min="6959" max="6959" width="2.5" style="40" customWidth="1"/>
    <col min="6960" max="7191" width="2.5" style="40"/>
    <col min="7192" max="7192" width="3" style="40" bestFit="1" customWidth="1"/>
    <col min="7193" max="7212" width="2.5" style="40"/>
    <col min="7213" max="7213" width="2.5" style="40" customWidth="1"/>
    <col min="7214" max="7214" width="2.5" style="40"/>
    <col min="7215" max="7215" width="2.5" style="40" customWidth="1"/>
    <col min="7216" max="7447" width="2.5" style="40"/>
    <col min="7448" max="7448" width="3" style="40" bestFit="1" customWidth="1"/>
    <col min="7449" max="7468" width="2.5" style="40"/>
    <col min="7469" max="7469" width="2.5" style="40" customWidth="1"/>
    <col min="7470" max="7470" width="2.5" style="40"/>
    <col min="7471" max="7471" width="2.5" style="40" customWidth="1"/>
    <col min="7472" max="7703" width="2.5" style="40"/>
    <col min="7704" max="7704" width="3" style="40" bestFit="1" customWidth="1"/>
    <col min="7705" max="7724" width="2.5" style="40"/>
    <col min="7725" max="7725" width="2.5" style="40" customWidth="1"/>
    <col min="7726" max="7726" width="2.5" style="40"/>
    <col min="7727" max="7727" width="2.5" style="40" customWidth="1"/>
    <col min="7728" max="7959" width="2.5" style="40"/>
    <col min="7960" max="7960" width="3" style="40" bestFit="1" customWidth="1"/>
    <col min="7961" max="7980" width="2.5" style="40"/>
    <col min="7981" max="7981" width="2.5" style="40" customWidth="1"/>
    <col min="7982" max="7982" width="2.5" style="40"/>
    <col min="7983" max="7983" width="2.5" style="40" customWidth="1"/>
    <col min="7984" max="8215" width="2.5" style="40"/>
    <col min="8216" max="8216" width="3" style="40" bestFit="1" customWidth="1"/>
    <col min="8217" max="8236" width="2.5" style="40"/>
    <col min="8237" max="8237" width="2.5" style="40" customWidth="1"/>
    <col min="8238" max="8238" width="2.5" style="40"/>
    <col min="8239" max="8239" width="2.5" style="40" customWidth="1"/>
    <col min="8240" max="8471" width="2.5" style="40"/>
    <col min="8472" max="8472" width="3" style="40" bestFit="1" customWidth="1"/>
    <col min="8473" max="8492" width="2.5" style="40"/>
    <col min="8493" max="8493" width="2.5" style="40" customWidth="1"/>
    <col min="8494" max="8494" width="2.5" style="40"/>
    <col min="8495" max="8495" width="2.5" style="40" customWidth="1"/>
    <col min="8496" max="8727" width="2.5" style="40"/>
    <col min="8728" max="8728" width="3" style="40" bestFit="1" customWidth="1"/>
    <col min="8729" max="8748" width="2.5" style="40"/>
    <col min="8749" max="8749" width="2.5" style="40" customWidth="1"/>
    <col min="8750" max="8750" width="2.5" style="40"/>
    <col min="8751" max="8751" width="2.5" style="40" customWidth="1"/>
    <col min="8752" max="8983" width="2.5" style="40"/>
    <col min="8984" max="8984" width="3" style="40" bestFit="1" customWidth="1"/>
    <col min="8985" max="9004" width="2.5" style="40"/>
    <col min="9005" max="9005" width="2.5" style="40" customWidth="1"/>
    <col min="9006" max="9006" width="2.5" style="40"/>
    <col min="9007" max="9007" width="2.5" style="40" customWidth="1"/>
    <col min="9008" max="9239" width="2.5" style="40"/>
    <col min="9240" max="9240" width="3" style="40" bestFit="1" customWidth="1"/>
    <col min="9241" max="9260" width="2.5" style="40"/>
    <col min="9261" max="9261" width="2.5" style="40" customWidth="1"/>
    <col min="9262" max="9262" width="2.5" style="40"/>
    <col min="9263" max="9263" width="2.5" style="40" customWidth="1"/>
    <col min="9264" max="9495" width="2.5" style="40"/>
    <col min="9496" max="9496" width="3" style="40" bestFit="1" customWidth="1"/>
    <col min="9497" max="9516" width="2.5" style="40"/>
    <col min="9517" max="9517" width="2.5" style="40" customWidth="1"/>
    <col min="9518" max="9518" width="2.5" style="40"/>
    <col min="9519" max="9519" width="2.5" style="40" customWidth="1"/>
    <col min="9520" max="9751" width="2.5" style="40"/>
    <col min="9752" max="9752" width="3" style="40" bestFit="1" customWidth="1"/>
    <col min="9753" max="9772" width="2.5" style="40"/>
    <col min="9773" max="9773" width="2.5" style="40" customWidth="1"/>
    <col min="9774" max="9774" width="2.5" style="40"/>
    <col min="9775" max="9775" width="2.5" style="40" customWidth="1"/>
    <col min="9776" max="10007" width="2.5" style="40"/>
    <col min="10008" max="10008" width="3" style="40" bestFit="1" customWidth="1"/>
    <col min="10009" max="10028" width="2.5" style="40"/>
    <col min="10029" max="10029" width="2.5" style="40" customWidth="1"/>
    <col min="10030" max="10030" width="2.5" style="40"/>
    <col min="10031" max="10031" width="2.5" style="40" customWidth="1"/>
    <col min="10032" max="10263" width="2.5" style="40"/>
    <col min="10264" max="10264" width="3" style="40" bestFit="1" customWidth="1"/>
    <col min="10265" max="10284" width="2.5" style="40"/>
    <col min="10285" max="10285" width="2.5" style="40" customWidth="1"/>
    <col min="10286" max="10286" width="2.5" style="40"/>
    <col min="10287" max="10287" width="2.5" style="40" customWidth="1"/>
    <col min="10288" max="10519" width="2.5" style="40"/>
    <col min="10520" max="10520" width="3" style="40" bestFit="1" customWidth="1"/>
    <col min="10521" max="10540" width="2.5" style="40"/>
    <col min="10541" max="10541" width="2.5" style="40" customWidth="1"/>
    <col min="10542" max="10542" width="2.5" style="40"/>
    <col min="10543" max="10543" width="2.5" style="40" customWidth="1"/>
    <col min="10544" max="10775" width="2.5" style="40"/>
    <col min="10776" max="10776" width="3" style="40" bestFit="1" customWidth="1"/>
    <col min="10777" max="10796" width="2.5" style="40"/>
    <col min="10797" max="10797" width="2.5" style="40" customWidth="1"/>
    <col min="10798" max="10798" width="2.5" style="40"/>
    <col min="10799" max="10799" width="2.5" style="40" customWidth="1"/>
    <col min="10800" max="11031" width="2.5" style="40"/>
    <col min="11032" max="11032" width="3" style="40" bestFit="1" customWidth="1"/>
    <col min="11033" max="11052" width="2.5" style="40"/>
    <col min="11053" max="11053" width="2.5" style="40" customWidth="1"/>
    <col min="11054" max="11054" width="2.5" style="40"/>
    <col min="11055" max="11055" width="2.5" style="40" customWidth="1"/>
    <col min="11056" max="11287" width="2.5" style="40"/>
    <col min="11288" max="11288" width="3" style="40" bestFit="1" customWidth="1"/>
    <col min="11289" max="11308" width="2.5" style="40"/>
    <col min="11309" max="11309" width="2.5" style="40" customWidth="1"/>
    <col min="11310" max="11310" width="2.5" style="40"/>
    <col min="11311" max="11311" width="2.5" style="40" customWidth="1"/>
    <col min="11312" max="11543" width="2.5" style="40"/>
    <col min="11544" max="11544" width="3" style="40" bestFit="1" customWidth="1"/>
    <col min="11545" max="11564" width="2.5" style="40"/>
    <col min="11565" max="11565" width="2.5" style="40" customWidth="1"/>
    <col min="11566" max="11566" width="2.5" style="40"/>
    <col min="11567" max="11567" width="2.5" style="40" customWidth="1"/>
    <col min="11568" max="11799" width="2.5" style="40"/>
    <col min="11800" max="11800" width="3" style="40" bestFit="1" customWidth="1"/>
    <col min="11801" max="11820" width="2.5" style="40"/>
    <col min="11821" max="11821" width="2.5" style="40" customWidth="1"/>
    <col min="11822" max="11822" width="2.5" style="40"/>
    <col min="11823" max="11823" width="2.5" style="40" customWidth="1"/>
    <col min="11824" max="12055" width="2.5" style="40"/>
    <col min="12056" max="12056" width="3" style="40" bestFit="1" customWidth="1"/>
    <col min="12057" max="12076" width="2.5" style="40"/>
    <col min="12077" max="12077" width="2.5" style="40" customWidth="1"/>
    <col min="12078" max="12078" width="2.5" style="40"/>
    <col min="12079" max="12079" width="2.5" style="40" customWidth="1"/>
    <col min="12080" max="12311" width="2.5" style="40"/>
    <col min="12312" max="12312" width="3" style="40" bestFit="1" customWidth="1"/>
    <col min="12313" max="12332" width="2.5" style="40"/>
    <col min="12333" max="12333" width="2.5" style="40" customWidth="1"/>
    <col min="12334" max="12334" width="2.5" style="40"/>
    <col min="12335" max="12335" width="2.5" style="40" customWidth="1"/>
    <col min="12336" max="12567" width="2.5" style="40"/>
    <col min="12568" max="12568" width="3" style="40" bestFit="1" customWidth="1"/>
    <col min="12569" max="12588" width="2.5" style="40"/>
    <col min="12589" max="12589" width="2.5" style="40" customWidth="1"/>
    <col min="12590" max="12590" width="2.5" style="40"/>
    <col min="12591" max="12591" width="2.5" style="40" customWidth="1"/>
    <col min="12592" max="12823" width="2.5" style="40"/>
    <col min="12824" max="12824" width="3" style="40" bestFit="1" customWidth="1"/>
    <col min="12825" max="12844" width="2.5" style="40"/>
    <col min="12845" max="12845" width="2.5" style="40" customWidth="1"/>
    <col min="12846" max="12846" width="2.5" style="40"/>
    <col min="12847" max="12847" width="2.5" style="40" customWidth="1"/>
    <col min="12848" max="13079" width="2.5" style="40"/>
    <col min="13080" max="13080" width="3" style="40" bestFit="1" customWidth="1"/>
    <col min="13081" max="13100" width="2.5" style="40"/>
    <col min="13101" max="13101" width="2.5" style="40" customWidth="1"/>
    <col min="13102" max="13102" width="2.5" style="40"/>
    <col min="13103" max="13103" width="2.5" style="40" customWidth="1"/>
    <col min="13104" max="13335" width="2.5" style="40"/>
    <col min="13336" max="13336" width="3" style="40" bestFit="1" customWidth="1"/>
    <col min="13337" max="13356" width="2.5" style="40"/>
    <col min="13357" max="13357" width="2.5" style="40" customWidth="1"/>
    <col min="13358" max="13358" width="2.5" style="40"/>
    <col min="13359" max="13359" width="2.5" style="40" customWidth="1"/>
    <col min="13360" max="13591" width="2.5" style="40"/>
    <col min="13592" max="13592" width="3" style="40" bestFit="1" customWidth="1"/>
    <col min="13593" max="13612" width="2.5" style="40"/>
    <col min="13613" max="13613" width="2.5" style="40" customWidth="1"/>
    <col min="13614" max="13614" width="2.5" style="40"/>
    <col min="13615" max="13615" width="2.5" style="40" customWidth="1"/>
    <col min="13616" max="13847" width="2.5" style="40"/>
    <col min="13848" max="13848" width="3" style="40" bestFit="1" customWidth="1"/>
    <col min="13849" max="13868" width="2.5" style="40"/>
    <col min="13869" max="13869" width="2.5" style="40" customWidth="1"/>
    <col min="13870" max="13870" width="2.5" style="40"/>
    <col min="13871" max="13871" width="2.5" style="40" customWidth="1"/>
    <col min="13872" max="14103" width="2.5" style="40"/>
    <col min="14104" max="14104" width="3" style="40" bestFit="1" customWidth="1"/>
    <col min="14105" max="14124" width="2.5" style="40"/>
    <col min="14125" max="14125" width="2.5" style="40" customWidth="1"/>
    <col min="14126" max="14126" width="2.5" style="40"/>
    <col min="14127" max="14127" width="2.5" style="40" customWidth="1"/>
    <col min="14128" max="14359" width="2.5" style="40"/>
    <col min="14360" max="14360" width="3" style="40" bestFit="1" customWidth="1"/>
    <col min="14361" max="14380" width="2.5" style="40"/>
    <col min="14381" max="14381" width="2.5" style="40" customWidth="1"/>
    <col min="14382" max="14382" width="2.5" style="40"/>
    <col min="14383" max="14383" width="2.5" style="40" customWidth="1"/>
    <col min="14384" max="14615" width="2.5" style="40"/>
    <col min="14616" max="14616" width="3" style="40" bestFit="1" customWidth="1"/>
    <col min="14617" max="14636" width="2.5" style="40"/>
    <col min="14637" max="14637" width="2.5" style="40" customWidth="1"/>
    <col min="14638" max="14638" width="2.5" style="40"/>
    <col min="14639" max="14639" width="2.5" style="40" customWidth="1"/>
    <col min="14640" max="14871" width="2.5" style="40"/>
    <col min="14872" max="14872" width="3" style="40" bestFit="1" customWidth="1"/>
    <col min="14873" max="14892" width="2.5" style="40"/>
    <col min="14893" max="14893" width="2.5" style="40" customWidth="1"/>
    <col min="14894" max="14894" width="2.5" style="40"/>
    <col min="14895" max="14895" width="2.5" style="40" customWidth="1"/>
    <col min="14896" max="15127" width="2.5" style="40"/>
    <col min="15128" max="15128" width="3" style="40" bestFit="1" customWidth="1"/>
    <col min="15129" max="15148" width="2.5" style="40"/>
    <col min="15149" max="15149" width="2.5" style="40" customWidth="1"/>
    <col min="15150" max="15150" width="2.5" style="40"/>
    <col min="15151" max="15151" width="2.5" style="40" customWidth="1"/>
    <col min="15152" max="15383" width="2.5" style="40"/>
    <col min="15384" max="15384" width="3" style="40" bestFit="1" customWidth="1"/>
    <col min="15385" max="15404" width="2.5" style="40"/>
    <col min="15405" max="15405" width="2.5" style="40" customWidth="1"/>
    <col min="15406" max="15406" width="2.5" style="40"/>
    <col min="15407" max="15407" width="2.5" style="40" customWidth="1"/>
    <col min="15408" max="15639" width="2.5" style="40"/>
    <col min="15640" max="15640" width="3" style="40" bestFit="1" customWidth="1"/>
    <col min="15641" max="15660" width="2.5" style="40"/>
    <col min="15661" max="15661" width="2.5" style="40" customWidth="1"/>
    <col min="15662" max="15662" width="2.5" style="40"/>
    <col min="15663" max="15663" width="2.5" style="40" customWidth="1"/>
    <col min="15664" max="15895" width="2.5" style="40"/>
    <col min="15896" max="15896" width="3" style="40" bestFit="1" customWidth="1"/>
    <col min="15897" max="15916" width="2.5" style="40"/>
    <col min="15917" max="15917" width="2.5" style="40" customWidth="1"/>
    <col min="15918" max="15918" width="2.5" style="40"/>
    <col min="15919" max="15919" width="2.5" style="40" customWidth="1"/>
    <col min="15920" max="16151" width="2.5" style="40"/>
    <col min="16152" max="16152" width="3" style="40" bestFit="1" customWidth="1"/>
    <col min="16153" max="16172" width="2.5" style="40"/>
    <col min="16173" max="16173" width="2.5" style="40" customWidth="1"/>
    <col min="16174" max="16174" width="2.5" style="40"/>
    <col min="16175" max="16175" width="2.5" style="40" customWidth="1"/>
    <col min="16176" max="16384" width="2.5" style="40"/>
  </cols>
  <sheetData>
    <row r="1" spans="9:74" s="23" customFormat="1" ht="18" customHeight="1" x14ac:dyDescent="0.15">
      <c r="P1" s="24" t="s">
        <v>21</v>
      </c>
      <c r="Q1" s="23" t="s">
        <v>22</v>
      </c>
      <c r="BE1" s="25" t="s">
        <v>182</v>
      </c>
      <c r="BN1" s="24"/>
      <c r="BO1" s="24"/>
    </row>
    <row r="2" spans="9:74" s="23" customFormat="1" ht="18" customHeight="1" x14ac:dyDescent="0.15">
      <c r="N2" s="26"/>
      <c r="BN2" s="24"/>
      <c r="BO2" s="24"/>
    </row>
    <row r="3" spans="9:74" s="27" customFormat="1" ht="17.25" customHeight="1" x14ac:dyDescent="0.15">
      <c r="P3" s="28"/>
      <c r="Q3" s="27" t="s">
        <v>181</v>
      </c>
      <c r="W3" s="27" t="s">
        <v>94</v>
      </c>
      <c r="BN3" s="176"/>
      <c r="BO3" s="176"/>
    </row>
    <row r="4" spans="9:74" s="27" customFormat="1" ht="10.5" customHeight="1" x14ac:dyDescent="0.15">
      <c r="BN4" s="176"/>
      <c r="BO4" s="176"/>
    </row>
    <row r="5" spans="9:74" s="27" customFormat="1" ht="10.5" customHeight="1" x14ac:dyDescent="0.15">
      <c r="BN5" s="176"/>
      <c r="BO5" s="176"/>
    </row>
    <row r="6" spans="9:74" s="27" customFormat="1" ht="10.5" customHeight="1" x14ac:dyDescent="0.15">
      <c r="I6" s="29" t="s">
        <v>117</v>
      </c>
      <c r="J6" s="30"/>
      <c r="K6" s="30"/>
      <c r="L6" s="30"/>
      <c r="M6" s="30"/>
      <c r="N6" s="31"/>
      <c r="U6" s="29"/>
      <c r="V6" s="30" t="s">
        <v>23</v>
      </c>
      <c r="W6" s="30"/>
      <c r="X6" s="30"/>
      <c r="Y6" s="30"/>
      <c r="Z6" s="31"/>
      <c r="BN6" s="176"/>
      <c r="BO6" s="176"/>
    </row>
    <row r="7" spans="9:74" s="27" customFormat="1" ht="10.5" customHeight="1" x14ac:dyDescent="0.15">
      <c r="I7" s="32" t="s">
        <v>24</v>
      </c>
      <c r="J7" s="33"/>
      <c r="K7" s="158">
        <f>ROUND(K8/K9*100,1)</f>
        <v>4</v>
      </c>
      <c r="L7" s="34"/>
      <c r="M7" s="33" t="s">
        <v>25</v>
      </c>
      <c r="N7" s="35"/>
      <c r="O7" s="36"/>
      <c r="P7" s="36"/>
      <c r="Q7" s="36"/>
      <c r="R7" s="36"/>
      <c r="S7" s="36"/>
      <c r="T7" s="36"/>
      <c r="U7" s="32" t="s">
        <v>202</v>
      </c>
      <c r="V7" s="33"/>
      <c r="W7" s="37">
        <f>ROUND(W8/W9*100,1)</f>
        <v>145.69999999999999</v>
      </c>
      <c r="X7" s="37"/>
      <c r="Y7" s="33" t="s">
        <v>25</v>
      </c>
      <c r="Z7" s="35"/>
      <c r="AA7" s="36"/>
      <c r="AB7" s="36"/>
      <c r="AC7" s="36"/>
      <c r="AD7" s="36"/>
      <c r="AE7" s="36"/>
      <c r="AF7" s="36"/>
      <c r="BN7" s="176"/>
      <c r="BO7" s="176"/>
    </row>
    <row r="8" spans="9:74" s="27" customFormat="1" ht="11.25" customHeight="1" x14ac:dyDescent="0.15">
      <c r="I8" s="32" t="s">
        <v>118</v>
      </c>
      <c r="J8" s="33"/>
      <c r="K8" s="81">
        <f>BS13</f>
        <v>0.6</v>
      </c>
      <c r="L8" s="81"/>
      <c r="M8" s="33" t="s">
        <v>26</v>
      </c>
      <c r="N8" s="35"/>
      <c r="O8" s="39"/>
      <c r="P8" s="39"/>
      <c r="Q8" s="40"/>
      <c r="R8" s="40"/>
      <c r="S8" s="40"/>
      <c r="T8" s="40"/>
      <c r="U8" s="32" t="s">
        <v>119</v>
      </c>
      <c r="V8" s="33"/>
      <c r="W8" s="42">
        <f>BP13</f>
        <v>5.0999999999999996</v>
      </c>
      <c r="X8" s="42"/>
      <c r="Y8" s="33" t="s">
        <v>26</v>
      </c>
      <c r="Z8" s="35"/>
      <c r="AA8" s="40"/>
      <c r="AB8" s="40"/>
      <c r="AC8" s="40"/>
      <c r="AD8" s="40"/>
      <c r="AE8" s="40"/>
      <c r="AF8" s="40"/>
      <c r="BN8" s="176"/>
      <c r="BO8" s="176"/>
    </row>
    <row r="9" spans="9:74" s="36" customFormat="1" ht="10.5" customHeight="1" x14ac:dyDescent="0.15">
      <c r="I9" s="32" t="s">
        <v>120</v>
      </c>
      <c r="J9" s="33"/>
      <c r="K9" s="42">
        <f>BS14</f>
        <v>15</v>
      </c>
      <c r="L9" s="42"/>
      <c r="M9" s="33" t="s">
        <v>121</v>
      </c>
      <c r="N9" s="35"/>
      <c r="O9" s="43"/>
      <c r="P9" s="43"/>
      <c r="U9" s="32" t="s">
        <v>122</v>
      </c>
      <c r="V9" s="33"/>
      <c r="W9" s="42">
        <f>BP14</f>
        <v>3.5</v>
      </c>
      <c r="X9" s="42"/>
      <c r="Y9" s="33" t="s">
        <v>64</v>
      </c>
      <c r="Z9" s="35"/>
      <c r="AX9" s="27"/>
      <c r="AY9" s="27"/>
      <c r="AZ9" s="27"/>
      <c r="BA9" s="27"/>
      <c r="BB9" s="27"/>
      <c r="BC9" s="27"/>
      <c r="BD9" s="27"/>
      <c r="BE9" s="27"/>
      <c r="BF9" s="27"/>
      <c r="BG9" s="173" t="s">
        <v>213</v>
      </c>
      <c r="BN9" s="177"/>
      <c r="BO9" s="177"/>
    </row>
    <row r="10" spans="9:74" s="36" customFormat="1" ht="10.5" customHeight="1" x14ac:dyDescent="0.15">
      <c r="I10" s="32" t="s">
        <v>95</v>
      </c>
      <c r="J10" s="33"/>
      <c r="K10" s="44">
        <f>BS15</f>
        <v>80</v>
      </c>
      <c r="L10" s="42"/>
      <c r="M10" s="33" t="s">
        <v>64</v>
      </c>
      <c r="N10" s="35"/>
      <c r="O10" s="43"/>
      <c r="P10" s="43"/>
      <c r="U10" s="32" t="s">
        <v>123</v>
      </c>
      <c r="V10" s="33"/>
      <c r="W10" s="157">
        <f>BP15</f>
        <v>80</v>
      </c>
      <c r="X10" s="42"/>
      <c r="Y10" s="33" t="s">
        <v>121</v>
      </c>
      <c r="Z10" s="35"/>
      <c r="AO10" s="27"/>
      <c r="AP10" s="27"/>
      <c r="AQ10" s="27"/>
      <c r="AR10" s="27"/>
      <c r="AS10" s="27"/>
      <c r="AT10" s="27"/>
      <c r="AU10" s="27"/>
      <c r="AX10" s="27"/>
      <c r="AY10" s="27"/>
      <c r="AZ10" s="27"/>
      <c r="BA10" s="27"/>
      <c r="BB10" s="27"/>
      <c r="BC10" s="27"/>
      <c r="BD10" s="27"/>
      <c r="BE10" s="27"/>
      <c r="BF10" s="27"/>
      <c r="BN10" s="177"/>
      <c r="BO10" s="177"/>
    </row>
    <row r="11" spans="9:74" s="36" customFormat="1" ht="10.5" customHeight="1" x14ac:dyDescent="0.15"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27"/>
      <c r="AK11" s="27"/>
      <c r="AL11" s="27"/>
      <c r="AX11" s="27"/>
      <c r="AY11" s="27"/>
      <c r="AZ11" s="27"/>
      <c r="BA11" s="27"/>
      <c r="BB11" s="27"/>
      <c r="BC11" s="27"/>
      <c r="BD11" s="27"/>
      <c r="BE11" s="27"/>
      <c r="BF11" s="27"/>
      <c r="BG11" s="174" t="s">
        <v>214</v>
      </c>
      <c r="BH11" s="40" t="s">
        <v>211</v>
      </c>
      <c r="BN11" s="177"/>
      <c r="BO11" s="177"/>
    </row>
    <row r="12" spans="9:74" s="36" customFormat="1" ht="10.5" customHeight="1" x14ac:dyDescent="0.15"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27"/>
      <c r="AK12" s="27"/>
      <c r="AL12" s="27"/>
      <c r="AX12" s="27"/>
      <c r="AY12" s="27"/>
      <c r="AZ12" s="27"/>
      <c r="BA12" s="27"/>
      <c r="BB12" s="27"/>
      <c r="BC12" s="27"/>
      <c r="BD12" s="27"/>
      <c r="BE12" s="27"/>
      <c r="BF12" s="27"/>
      <c r="BI12" s="40"/>
      <c r="BJ12" s="40"/>
      <c r="BK12" s="40"/>
      <c r="BL12" s="40"/>
      <c r="BM12" s="40"/>
      <c r="BN12" s="100"/>
      <c r="BO12" s="100"/>
      <c r="BP12" s="40" t="s">
        <v>208</v>
      </c>
      <c r="BS12" s="36" t="s">
        <v>209</v>
      </c>
      <c r="BV12" s="36" t="s">
        <v>210</v>
      </c>
    </row>
    <row r="13" spans="9:74" ht="10.5" customHeight="1" x14ac:dyDescent="0.15">
      <c r="L13" s="39"/>
      <c r="M13" s="39"/>
      <c r="AJ13" s="27"/>
      <c r="AK13" s="27"/>
      <c r="AL13" s="27"/>
      <c r="AO13" s="29" t="s">
        <v>27</v>
      </c>
      <c r="AP13" s="30"/>
      <c r="AQ13" s="30"/>
      <c r="AR13" s="30"/>
      <c r="AS13" s="30"/>
      <c r="AT13" s="31"/>
      <c r="AW13" s="29" t="s">
        <v>28</v>
      </c>
      <c r="AX13" s="30"/>
      <c r="AY13" s="30"/>
      <c r="AZ13" s="30"/>
      <c r="BA13" s="30"/>
      <c r="BB13" s="31"/>
      <c r="BC13" s="27"/>
      <c r="BD13" s="27"/>
      <c r="BE13" s="27"/>
      <c r="BF13" s="27"/>
      <c r="BH13" s="171" t="s">
        <v>225</v>
      </c>
      <c r="BI13" s="172"/>
      <c r="BJ13" s="172"/>
      <c r="BK13" s="172"/>
      <c r="BL13" s="172"/>
      <c r="BM13" s="172"/>
      <c r="BN13" s="178" t="s">
        <v>236</v>
      </c>
      <c r="BO13" s="178"/>
      <c r="BP13" s="183">
        <f>'入力シート（実証技術）'!L21</f>
        <v>5.0999999999999996</v>
      </c>
      <c r="BQ13" s="184"/>
      <c r="BR13" s="184"/>
      <c r="BS13" s="183">
        <f>'入力シート（実証技術）'!O21</f>
        <v>0.6</v>
      </c>
      <c r="BT13" s="185"/>
      <c r="BU13" s="172"/>
      <c r="BV13" s="183">
        <f>'入力シート（実証技術）'!R21</f>
        <v>0.3</v>
      </c>
    </row>
    <row r="14" spans="9:74" ht="10.5" customHeight="1" x14ac:dyDescent="0.15">
      <c r="L14" s="39"/>
      <c r="M14" s="39"/>
      <c r="AJ14" s="27"/>
      <c r="AK14" s="27"/>
      <c r="AL14" s="27"/>
      <c r="AO14" s="32" t="s">
        <v>124</v>
      </c>
      <c r="AP14" s="33"/>
      <c r="AQ14" s="46">
        <f>AY14</f>
        <v>2</v>
      </c>
      <c r="AR14" s="46"/>
      <c r="AS14" s="33" t="s">
        <v>25</v>
      </c>
      <c r="AT14" s="35"/>
      <c r="AW14" s="32" t="s">
        <v>96</v>
      </c>
      <c r="AX14" s="33"/>
      <c r="AY14" s="158">
        <f>ROUND(AY15/AY16*100,1)</f>
        <v>2</v>
      </c>
      <c r="AZ14" s="44"/>
      <c r="BA14" s="33" t="s">
        <v>26</v>
      </c>
      <c r="BB14" s="35"/>
      <c r="BC14" s="27"/>
      <c r="BD14" s="27"/>
      <c r="BE14" s="27"/>
      <c r="BF14" s="27"/>
      <c r="BH14" s="171" t="s">
        <v>226</v>
      </c>
      <c r="BI14" s="172"/>
      <c r="BJ14" s="172"/>
      <c r="BK14" s="172"/>
      <c r="BL14" s="172"/>
      <c r="BM14" s="172"/>
      <c r="BN14" s="100" t="s">
        <v>237</v>
      </c>
      <c r="BP14" s="183">
        <f>'入力シート（実証技術）'!L22</f>
        <v>3.5</v>
      </c>
      <c r="BQ14" s="184"/>
      <c r="BR14" s="184"/>
      <c r="BS14" s="183">
        <f>'入力シート（実証技術）'!O22</f>
        <v>15</v>
      </c>
      <c r="BT14" s="185"/>
      <c r="BU14" s="172"/>
      <c r="BV14" s="183">
        <f>'入力シート（実証技術）'!R22</f>
        <v>15</v>
      </c>
    </row>
    <row r="15" spans="9:74" ht="10.5" customHeight="1" x14ac:dyDescent="0.15">
      <c r="AO15" s="32" t="s">
        <v>125</v>
      </c>
      <c r="AP15" s="33"/>
      <c r="AQ15" s="38">
        <f>AQ14*AQ16/100</f>
        <v>0</v>
      </c>
      <c r="AR15" s="38"/>
      <c r="AS15" s="47" t="s">
        <v>26</v>
      </c>
      <c r="AT15" s="48"/>
      <c r="AU15" s="49"/>
      <c r="AV15" s="49"/>
      <c r="AW15" s="50" t="s">
        <v>126</v>
      </c>
      <c r="AX15" s="47"/>
      <c r="AY15" s="81">
        <f>BV13</f>
        <v>0.3</v>
      </c>
      <c r="AZ15" s="81"/>
      <c r="BA15" s="33" t="s">
        <v>26</v>
      </c>
      <c r="BB15" s="35"/>
      <c r="BC15" s="27"/>
      <c r="BD15" s="27"/>
      <c r="BE15" s="27"/>
      <c r="BF15" s="27"/>
      <c r="BH15" s="171" t="s">
        <v>227</v>
      </c>
      <c r="BI15" s="172"/>
      <c r="BJ15" s="172"/>
      <c r="BK15" s="172"/>
      <c r="BL15" s="172"/>
      <c r="BM15" s="172"/>
      <c r="BN15" s="100" t="s">
        <v>238</v>
      </c>
      <c r="BP15" s="182">
        <f>'入力シート（実証技術）'!L23</f>
        <v>80</v>
      </c>
      <c r="BQ15" s="184"/>
      <c r="BR15" s="184"/>
      <c r="BS15" s="182">
        <f>'入力シート（実証技術）'!O23</f>
        <v>80</v>
      </c>
      <c r="BT15" s="185"/>
      <c r="BU15" s="172"/>
      <c r="BV15" s="182">
        <f>'入力シート（実証技術）'!R23</f>
        <v>90</v>
      </c>
    </row>
    <row r="16" spans="9:74" ht="10.5" customHeight="1" x14ac:dyDescent="0.15">
      <c r="AO16" s="32" t="s">
        <v>127</v>
      </c>
      <c r="AP16" s="33"/>
      <c r="AQ16" s="41">
        <v>0</v>
      </c>
      <c r="AR16" s="41"/>
      <c r="AS16" s="33" t="s">
        <v>121</v>
      </c>
      <c r="AT16" s="35"/>
      <c r="AW16" s="32" t="s">
        <v>128</v>
      </c>
      <c r="AX16" s="33"/>
      <c r="AY16" s="42">
        <f>BV14</f>
        <v>15</v>
      </c>
      <c r="AZ16" s="56"/>
      <c r="BA16" s="33" t="s">
        <v>121</v>
      </c>
      <c r="BB16" s="35"/>
      <c r="BC16" s="27"/>
      <c r="BD16" s="27"/>
      <c r="BE16" s="27"/>
      <c r="BF16" s="27"/>
      <c r="BN16" s="178"/>
      <c r="BO16" s="178"/>
      <c r="BP16" s="100"/>
    </row>
    <row r="17" spans="1:79" ht="10.5" customHeight="1" x14ac:dyDescent="0.15">
      <c r="X17" s="51"/>
      <c r="Y17" s="52"/>
      <c r="Z17" s="29"/>
      <c r="AA17" s="30" t="s">
        <v>29</v>
      </c>
      <c r="AB17" s="30"/>
      <c r="AC17" s="30"/>
      <c r="AD17" s="30"/>
      <c r="AE17" s="30"/>
      <c r="AF17" s="31"/>
      <c r="AO17" s="32" t="s">
        <v>129</v>
      </c>
      <c r="AP17" s="33"/>
      <c r="AQ17" s="156">
        <v>0</v>
      </c>
      <c r="AR17" s="41"/>
      <c r="AS17" s="33" t="s">
        <v>130</v>
      </c>
      <c r="AT17" s="35"/>
      <c r="AW17" s="32" t="s">
        <v>131</v>
      </c>
      <c r="AX17" s="33"/>
      <c r="AY17" s="53">
        <f>BV15</f>
        <v>90</v>
      </c>
      <c r="AZ17" s="56"/>
      <c r="BA17" s="33" t="s">
        <v>130</v>
      </c>
      <c r="BB17" s="35"/>
      <c r="BG17" s="174" t="s">
        <v>215</v>
      </c>
      <c r="BH17" s="39" t="s">
        <v>36</v>
      </c>
      <c r="BP17" s="100"/>
    </row>
    <row r="18" spans="1:79" ht="10.5" customHeight="1" x14ac:dyDescent="0.15">
      <c r="X18" s="27"/>
      <c r="Y18" s="27"/>
      <c r="Z18" s="32" t="s">
        <v>132</v>
      </c>
      <c r="AA18" s="33"/>
      <c r="AB18" s="33"/>
      <c r="AC18" s="45">
        <f>W7</f>
        <v>145.69999999999999</v>
      </c>
      <c r="AD18" s="37"/>
      <c r="AE18" s="33" t="s">
        <v>25</v>
      </c>
      <c r="AF18" s="35"/>
      <c r="BG18" s="27"/>
      <c r="BH18" s="39" t="s">
        <v>203</v>
      </c>
      <c r="BI18" s="39"/>
      <c r="BJ18" s="39"/>
      <c r="BK18" s="39"/>
      <c r="BL18" s="39"/>
      <c r="BM18" s="39"/>
      <c r="BN18" s="178" t="s">
        <v>240</v>
      </c>
      <c r="BO18" s="178"/>
      <c r="BP18" s="182">
        <f>'入力シート（実証技術）'!L26</f>
        <v>23</v>
      </c>
      <c r="BQ18" s="59"/>
      <c r="BR18" s="27"/>
      <c r="BS18" s="27"/>
      <c r="BT18" s="27"/>
      <c r="BU18" s="27"/>
      <c r="BV18" s="27"/>
      <c r="BW18" s="27"/>
      <c r="BX18" s="27"/>
      <c r="BY18" s="27"/>
      <c r="BZ18" s="27"/>
      <c r="CA18" s="27"/>
    </row>
    <row r="19" spans="1:79" s="27" customFormat="1" ht="10.5" customHeight="1" x14ac:dyDescent="0.15">
      <c r="Z19" s="32" t="s">
        <v>30</v>
      </c>
      <c r="AA19" s="33"/>
      <c r="AB19" s="33"/>
      <c r="AC19" s="41">
        <f>W8</f>
        <v>5.0999999999999996</v>
      </c>
      <c r="AD19" s="41"/>
      <c r="AE19" s="33" t="s">
        <v>26</v>
      </c>
      <c r="AF19" s="35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H19" s="39" t="s">
        <v>212</v>
      </c>
      <c r="BI19" s="39"/>
      <c r="BJ19" s="39"/>
      <c r="BK19" s="39"/>
      <c r="BL19" s="39"/>
      <c r="BM19" s="39"/>
      <c r="BN19" s="178" t="s">
        <v>240</v>
      </c>
      <c r="BO19" s="178"/>
      <c r="BP19" s="182">
        <f>'入力シート（実証技術）'!L27</f>
        <v>37</v>
      </c>
      <c r="BQ19" s="59"/>
    </row>
    <row r="20" spans="1:79" s="27" customFormat="1" ht="10.5" customHeight="1" x14ac:dyDescent="0.15">
      <c r="Z20" s="32" t="s">
        <v>133</v>
      </c>
      <c r="AA20" s="33"/>
      <c r="AB20" s="33"/>
      <c r="AC20" s="41">
        <f>AC19/AC18*100</f>
        <v>3.5003431708991077</v>
      </c>
      <c r="AD20" s="41"/>
      <c r="AE20" s="33" t="s">
        <v>134</v>
      </c>
      <c r="AF20" s="35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N20" s="176"/>
      <c r="BO20" s="176"/>
      <c r="BP20" s="176"/>
    </row>
    <row r="21" spans="1:79" s="27" customFormat="1" ht="10.5" customHeight="1" x14ac:dyDescent="0.15">
      <c r="Z21" s="32" t="s">
        <v>135</v>
      </c>
      <c r="AA21" s="33"/>
      <c r="AB21" s="54"/>
      <c r="AC21" s="55">
        <f>(W8*W10)/AC19</f>
        <v>80</v>
      </c>
      <c r="AD21" s="56"/>
      <c r="AE21" s="33" t="s">
        <v>136</v>
      </c>
      <c r="AF21" s="35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G21" s="174" t="s">
        <v>216</v>
      </c>
      <c r="BH21" s="39" t="s">
        <v>217</v>
      </c>
      <c r="BN21" s="176"/>
      <c r="BO21" s="176"/>
      <c r="BP21" s="176"/>
    </row>
    <row r="22" spans="1:79" s="27" customFormat="1" ht="10.5" customHeight="1" x14ac:dyDescent="0.15">
      <c r="Z22" s="39"/>
      <c r="AA22" s="39"/>
      <c r="AB22" s="57"/>
      <c r="AC22" s="58"/>
      <c r="AD22" s="59"/>
      <c r="AE22" s="39"/>
      <c r="AF22" s="39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H22" s="39" t="s">
        <v>35</v>
      </c>
      <c r="BI22" s="175"/>
      <c r="BJ22" s="175"/>
      <c r="BK22" s="175"/>
      <c r="BL22" s="175"/>
      <c r="BM22" s="175"/>
      <c r="BN22" s="100" t="s">
        <v>237</v>
      </c>
      <c r="BO22" s="100"/>
      <c r="BP22" s="187">
        <f>'入力シート（実証技術）'!L30</f>
        <v>32</v>
      </c>
    </row>
    <row r="23" spans="1:79" s="27" customFormat="1" ht="10.5" customHeight="1" x14ac:dyDescent="0.15">
      <c r="W23" s="40"/>
      <c r="Z23" s="39"/>
      <c r="AA23" s="39"/>
      <c r="AB23" s="57"/>
      <c r="AC23" s="58"/>
      <c r="AD23" s="59"/>
      <c r="AE23" s="39"/>
      <c r="AF23" s="39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G23" s="40"/>
      <c r="BH23" s="115" t="s">
        <v>37</v>
      </c>
      <c r="BI23" s="39"/>
      <c r="BJ23" s="39"/>
      <c r="BK23" s="39"/>
      <c r="BL23" s="39"/>
      <c r="BM23" s="39"/>
      <c r="BN23" s="100" t="s">
        <v>238</v>
      </c>
      <c r="BO23" s="100"/>
      <c r="BP23" s="187">
        <f>'入力シート（実証技術）'!L31</f>
        <v>38</v>
      </c>
      <c r="BQ23" s="40"/>
      <c r="BR23" s="40"/>
      <c r="BS23" s="40"/>
      <c r="BT23" s="40"/>
      <c r="BU23" s="40"/>
      <c r="BV23" s="40"/>
      <c r="BW23" s="40"/>
      <c r="BX23" s="40"/>
      <c r="BY23" s="40"/>
      <c r="BZ23" s="40"/>
    </row>
    <row r="24" spans="1:79" s="27" customFormat="1" ht="10.5" customHeight="1" x14ac:dyDescent="0.15">
      <c r="W24" s="40"/>
      <c r="X24" s="51"/>
      <c r="Y24" s="52"/>
      <c r="Z24" s="29" t="s">
        <v>137</v>
      </c>
      <c r="AA24" s="30"/>
      <c r="AB24" s="30"/>
      <c r="AC24" s="30"/>
      <c r="AD24" s="30"/>
      <c r="AE24" s="30"/>
      <c r="AF24" s="31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G24" s="40"/>
      <c r="BH24" s="40"/>
      <c r="BI24" s="40"/>
      <c r="BJ24" s="40"/>
      <c r="BK24" s="40"/>
      <c r="BL24" s="40"/>
      <c r="BM24" s="40"/>
      <c r="BN24" s="100"/>
      <c r="BO24" s="100"/>
      <c r="BP24" s="100"/>
      <c r="BQ24" s="40"/>
      <c r="BR24" s="40"/>
      <c r="BS24" s="40"/>
      <c r="BT24" s="40"/>
      <c r="BU24" s="40"/>
      <c r="BV24" s="40"/>
      <c r="BW24" s="40"/>
      <c r="BX24" s="40"/>
      <c r="BY24" s="40"/>
      <c r="BZ24" s="40"/>
    </row>
    <row r="25" spans="1:79" s="27" customFormat="1" ht="10.5" customHeight="1" x14ac:dyDescent="0.15">
      <c r="Z25" s="32" t="s">
        <v>31</v>
      </c>
      <c r="AA25" s="33"/>
      <c r="AB25" s="33"/>
      <c r="AC25" s="45">
        <f>AC18+AQ14+AY14</f>
        <v>149.69999999999999</v>
      </c>
      <c r="AD25" s="37"/>
      <c r="AE25" s="33" t="s">
        <v>25</v>
      </c>
      <c r="AF25" s="35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29"/>
      <c r="AU25" s="30"/>
      <c r="AV25" s="30" t="s">
        <v>32</v>
      </c>
      <c r="AW25" s="30"/>
      <c r="AX25" s="30"/>
      <c r="AY25" s="30"/>
      <c r="AZ25" s="30"/>
      <c r="BA25" s="31"/>
      <c r="BB25" s="40"/>
      <c r="BC25" s="40"/>
      <c r="BD25" s="40"/>
      <c r="BG25" s="174" t="s">
        <v>555</v>
      </c>
      <c r="BH25" s="39" t="s">
        <v>244</v>
      </c>
      <c r="BN25" s="176"/>
      <c r="BO25" s="176"/>
      <c r="BP25" s="176"/>
      <c r="BQ25" s="40"/>
      <c r="BR25" s="40"/>
      <c r="BS25" s="40"/>
      <c r="BT25" s="40"/>
      <c r="BU25" s="40"/>
      <c r="BV25" s="40"/>
      <c r="BW25" s="40"/>
      <c r="BX25" s="40"/>
      <c r="BY25" s="40"/>
      <c r="BZ25" s="40"/>
    </row>
    <row r="26" spans="1:79" s="27" customFormat="1" ht="10.5" customHeight="1" x14ac:dyDescent="0.15">
      <c r="Z26" s="32" t="s">
        <v>138</v>
      </c>
      <c r="AA26" s="33"/>
      <c r="AB26" s="33"/>
      <c r="AC26" s="41">
        <f>+AC19+AQ15+AY15</f>
        <v>5.3999999999999995</v>
      </c>
      <c r="AD26" s="41"/>
      <c r="AE26" s="33" t="s">
        <v>26</v>
      </c>
      <c r="AF26" s="35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32" t="s">
        <v>139</v>
      </c>
      <c r="AU26" s="33"/>
      <c r="AV26" s="33"/>
      <c r="AW26" s="37">
        <f>AH38-AW42-AW34</f>
        <v>2070.1672533768556</v>
      </c>
      <c r="AX26" s="37"/>
      <c r="AY26" s="37"/>
      <c r="AZ26" s="33" t="s">
        <v>25</v>
      </c>
      <c r="BA26" s="35"/>
      <c r="BB26" s="40"/>
      <c r="BC26" s="40"/>
      <c r="BD26" s="40"/>
      <c r="BH26" s="39" t="s">
        <v>242</v>
      </c>
      <c r="BI26" s="175"/>
      <c r="BJ26" s="175"/>
      <c r="BK26" s="175"/>
      <c r="BL26" s="175"/>
      <c r="BM26" s="175"/>
      <c r="BN26" s="100" t="s">
        <v>243</v>
      </c>
      <c r="BO26" s="100"/>
      <c r="BP26" s="187">
        <v>0</v>
      </c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</row>
    <row r="27" spans="1:79" ht="10.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Z27" s="32" t="s">
        <v>140</v>
      </c>
      <c r="AA27" s="33"/>
      <c r="AB27" s="33"/>
      <c r="AC27" s="41">
        <f>AC26/AC25*100</f>
        <v>3.6072144288577155</v>
      </c>
      <c r="AD27" s="41"/>
      <c r="AE27" s="33" t="s">
        <v>134</v>
      </c>
      <c r="AF27" s="35"/>
      <c r="AT27" s="32" t="s">
        <v>33</v>
      </c>
      <c r="AU27" s="33"/>
      <c r="AV27" s="33"/>
      <c r="AW27" s="37">
        <f>AW26*AI40/24/3.6*AX28</f>
        <v>164.07992304542483</v>
      </c>
      <c r="AX27" s="37"/>
      <c r="AY27" s="37"/>
      <c r="AZ27" s="33" t="s">
        <v>34</v>
      </c>
      <c r="BA27" s="35"/>
      <c r="BG27" s="27"/>
      <c r="BH27" s="39"/>
      <c r="BI27" s="175"/>
      <c r="BJ27" s="175"/>
      <c r="BK27" s="175"/>
      <c r="BL27" s="175"/>
      <c r="BM27" s="175"/>
      <c r="BP27" s="187"/>
    </row>
    <row r="28" spans="1:79" ht="10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Z28" s="32" t="s">
        <v>141</v>
      </c>
      <c r="AA28" s="33"/>
      <c r="AB28" s="54"/>
      <c r="AC28" s="55">
        <f>(AC19*AC21+AQ15*AQ17+AY15*AY17)/AC26</f>
        <v>80.555555555555557</v>
      </c>
      <c r="AD28" s="42"/>
      <c r="AE28" s="33" t="s">
        <v>136</v>
      </c>
      <c r="AF28" s="35"/>
      <c r="AT28" s="32" t="s">
        <v>35</v>
      </c>
      <c r="AU28" s="33"/>
      <c r="AV28" s="37"/>
      <c r="AW28" s="37"/>
      <c r="AX28" s="60">
        <f>BP22/100</f>
        <v>0.32</v>
      </c>
      <c r="AY28" s="37"/>
      <c r="AZ28" s="33"/>
      <c r="BA28" s="35"/>
      <c r="BH28" s="115"/>
      <c r="BI28" s="39"/>
      <c r="BJ28" s="39"/>
      <c r="BK28" s="39"/>
      <c r="BL28" s="39"/>
      <c r="BM28" s="39"/>
      <c r="BP28" s="180"/>
    </row>
    <row r="29" spans="1:79" ht="10.5" customHeight="1" x14ac:dyDescent="0.1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Z29" s="32" t="s">
        <v>36</v>
      </c>
      <c r="AA29" s="33"/>
      <c r="AB29" s="54"/>
      <c r="AC29" s="53">
        <f>BP18</f>
        <v>23</v>
      </c>
      <c r="AD29" s="42"/>
      <c r="AE29" s="33" t="s">
        <v>142</v>
      </c>
      <c r="AF29" s="35"/>
      <c r="AT29" s="61" t="s">
        <v>37</v>
      </c>
      <c r="AU29" s="62"/>
      <c r="AV29" s="63"/>
      <c r="AW29" s="63"/>
      <c r="AX29" s="60">
        <f>BP23/100</f>
        <v>0.38</v>
      </c>
      <c r="AY29" s="63"/>
      <c r="AZ29" s="62"/>
      <c r="BA29" s="64"/>
      <c r="BG29" s="173" t="s">
        <v>222</v>
      </c>
      <c r="BP29" s="100"/>
    </row>
    <row r="30" spans="1:79" ht="10.5" customHeight="1" thickBot="1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AL30" s="65"/>
      <c r="AT30" s="61" t="s">
        <v>38</v>
      </c>
      <c r="AU30" s="62"/>
      <c r="AV30" s="63"/>
      <c r="AW30" s="63">
        <f>ROUND(AW26*AI40*AX29,-1)</f>
        <v>16830</v>
      </c>
      <c r="AX30" s="63"/>
      <c r="AY30" s="63"/>
      <c r="AZ30" s="62" t="s">
        <v>39</v>
      </c>
      <c r="BA30" s="64"/>
      <c r="BP30" s="100"/>
    </row>
    <row r="31" spans="1:79" ht="10.5" customHeight="1" thickTop="1" x14ac:dyDescent="0.15">
      <c r="B31" s="27"/>
      <c r="C31" s="27"/>
      <c r="D31" s="27"/>
      <c r="E31" s="27"/>
      <c r="F31" s="27"/>
      <c r="G31" s="27"/>
      <c r="J31" s="39"/>
      <c r="K31" s="39"/>
      <c r="L31" s="39"/>
      <c r="M31" s="66"/>
      <c r="N31" s="67"/>
      <c r="O31" s="39"/>
      <c r="P31" s="39"/>
      <c r="T31" s="68"/>
      <c r="U31" s="69"/>
      <c r="V31" s="70"/>
      <c r="W31" s="71"/>
      <c r="X31" s="71"/>
      <c r="Y31" s="72" t="s">
        <v>40</v>
      </c>
      <c r="Z31" s="71"/>
      <c r="AA31" s="69"/>
      <c r="AB31" s="69"/>
      <c r="AC31" s="73"/>
      <c r="BG31" s="174" t="s">
        <v>221</v>
      </c>
      <c r="BH31" s="40" t="s">
        <v>232</v>
      </c>
      <c r="BN31" s="100" t="s">
        <v>237</v>
      </c>
      <c r="BP31" s="182">
        <f>'入力シート（実証技術）'!L36</f>
        <v>78</v>
      </c>
      <c r="BR31" s="40" t="s">
        <v>235</v>
      </c>
    </row>
    <row r="32" spans="1:79" ht="10.5" customHeight="1" x14ac:dyDescent="0.15">
      <c r="J32" s="39"/>
      <c r="P32" s="39"/>
      <c r="T32" s="74" t="s">
        <v>97</v>
      </c>
      <c r="U32" s="169"/>
      <c r="V32" s="169"/>
      <c r="W32" s="169"/>
      <c r="X32" s="39"/>
      <c r="Y32" s="39"/>
      <c r="Z32" s="39"/>
      <c r="AA32" s="39"/>
      <c r="AB32" s="39"/>
      <c r="AC32" s="76"/>
      <c r="BP32" s="184"/>
    </row>
    <row r="33" spans="2:73" ht="10.5" customHeight="1" x14ac:dyDescent="0.15">
      <c r="T33" s="74"/>
      <c r="U33" s="77" t="s">
        <v>41</v>
      </c>
      <c r="V33" s="39"/>
      <c r="W33" s="39"/>
      <c r="X33" s="166">
        <f>BP19</f>
        <v>37</v>
      </c>
      <c r="Y33" s="66"/>
      <c r="Z33" s="39" t="s">
        <v>143</v>
      </c>
      <c r="AA33" s="39" t="s">
        <v>111</v>
      </c>
      <c r="AB33" s="39"/>
      <c r="AC33" s="76"/>
      <c r="AF33" s="29"/>
      <c r="AG33" s="30" t="s">
        <v>45</v>
      </c>
      <c r="AH33" s="30"/>
      <c r="AI33" s="30"/>
      <c r="AJ33" s="30"/>
      <c r="AK33" s="30"/>
      <c r="AL33" s="30"/>
      <c r="AM33" s="30"/>
      <c r="AN33" s="31"/>
      <c r="AT33" s="29"/>
      <c r="AU33" s="30"/>
      <c r="AV33" s="30" t="s">
        <v>43</v>
      </c>
      <c r="AW33" s="30"/>
      <c r="AX33" s="30"/>
      <c r="AY33" s="30"/>
      <c r="AZ33" s="30"/>
      <c r="BA33" s="31"/>
      <c r="BG33" s="174" t="s">
        <v>230</v>
      </c>
      <c r="BH33" s="40" t="s">
        <v>250</v>
      </c>
      <c r="BN33" s="100" t="s">
        <v>237</v>
      </c>
      <c r="BP33" s="190">
        <f>'入力シート（実証技術）'!L40</f>
        <v>93</v>
      </c>
    </row>
    <row r="34" spans="2:73" ht="10.5" customHeight="1" x14ac:dyDescent="0.15">
      <c r="T34" s="74"/>
      <c r="U34" s="77"/>
      <c r="V34" s="39"/>
      <c r="W34" s="39"/>
      <c r="X34" s="66"/>
      <c r="Y34" s="66"/>
      <c r="Z34" s="39"/>
      <c r="AA34" s="39"/>
      <c r="AB34" s="39"/>
      <c r="AC34" s="76"/>
      <c r="AF34" s="32" t="s">
        <v>112</v>
      </c>
      <c r="AG34" s="33"/>
      <c r="AI34" s="161">
        <v>1</v>
      </c>
      <c r="AJ34" s="46"/>
      <c r="AK34" s="33" t="s">
        <v>115</v>
      </c>
      <c r="AL34" s="33"/>
      <c r="AM34" s="33"/>
      <c r="AN34" s="35"/>
      <c r="AT34" s="32" t="s">
        <v>144</v>
      </c>
      <c r="AU34" s="33"/>
      <c r="AV34" s="33"/>
      <c r="AW34" s="37">
        <f>ROUND(AW35/AX36*3.6/AI40*24,0)</f>
        <v>0</v>
      </c>
      <c r="AX34" s="37"/>
      <c r="AY34" s="37"/>
      <c r="AZ34" s="33" t="s">
        <v>25</v>
      </c>
      <c r="BA34" s="35"/>
    </row>
    <row r="35" spans="2:73" ht="10.5" customHeight="1" x14ac:dyDescent="0.15">
      <c r="T35" s="74"/>
      <c r="U35" s="39"/>
      <c r="V35" s="39"/>
      <c r="W35" s="39"/>
      <c r="X35" s="39"/>
      <c r="Y35" s="39"/>
      <c r="Z35" s="78"/>
      <c r="AA35" s="78"/>
      <c r="AB35" s="43"/>
      <c r="AC35" s="76"/>
      <c r="AF35" s="32" t="s">
        <v>113</v>
      </c>
      <c r="AG35" s="33"/>
      <c r="AI35" s="161">
        <v>0.75</v>
      </c>
      <c r="AJ35" s="46"/>
      <c r="AK35" s="33" t="s">
        <v>145</v>
      </c>
      <c r="AL35" s="33"/>
      <c r="AM35" s="33"/>
      <c r="AN35" s="35"/>
      <c r="AT35" s="32" t="s">
        <v>33</v>
      </c>
      <c r="AU35" s="33"/>
      <c r="AV35" s="33"/>
      <c r="AW35" s="165">
        <f>BP26</f>
        <v>0</v>
      </c>
      <c r="AX35" s="165"/>
      <c r="AY35" s="165"/>
      <c r="AZ35" s="33" t="s">
        <v>146</v>
      </c>
      <c r="BA35" s="35"/>
      <c r="BG35" s="174" t="s">
        <v>239</v>
      </c>
      <c r="BH35" s="40" t="s">
        <v>219</v>
      </c>
      <c r="BN35" s="100" t="s">
        <v>241</v>
      </c>
      <c r="BP35" s="183">
        <f>I50</f>
        <v>0.43</v>
      </c>
      <c r="BR35" s="40" t="s">
        <v>229</v>
      </c>
      <c r="BS35" s="39"/>
    </row>
    <row r="36" spans="2:73" ht="10.5" customHeight="1" x14ac:dyDescent="0.15">
      <c r="T36" s="74" t="s">
        <v>44</v>
      </c>
      <c r="U36" s="79"/>
      <c r="W36" s="39"/>
      <c r="X36" s="39"/>
      <c r="Z36" s="159">
        <v>0.5</v>
      </c>
      <c r="AA36" s="78"/>
      <c r="AB36" s="43" t="s">
        <v>42</v>
      </c>
      <c r="AC36" s="76"/>
      <c r="AD36" s="39"/>
      <c r="AE36" s="66"/>
      <c r="AF36" s="32" t="s">
        <v>114</v>
      </c>
      <c r="AG36" s="33"/>
      <c r="AI36" s="161">
        <v>0.75</v>
      </c>
      <c r="AJ36" s="46"/>
      <c r="AK36" s="33" t="s">
        <v>115</v>
      </c>
      <c r="AL36" s="33"/>
      <c r="AM36" s="33"/>
      <c r="AN36" s="35"/>
      <c r="AT36" s="32" t="s">
        <v>35</v>
      </c>
      <c r="AU36" s="33"/>
      <c r="AV36" s="37"/>
      <c r="AW36" s="37"/>
      <c r="AX36" s="162">
        <v>0.48</v>
      </c>
      <c r="AY36" s="37"/>
      <c r="AZ36" s="33"/>
      <c r="BA36" s="35"/>
      <c r="BH36" s="40" t="s">
        <v>228</v>
      </c>
      <c r="BP36" s="183"/>
    </row>
    <row r="37" spans="2:73" ht="10.5" customHeight="1" thickBot="1" x14ac:dyDescent="0.2">
      <c r="T37" s="74" t="s">
        <v>46</v>
      </c>
      <c r="U37" s="79"/>
      <c r="V37" s="39"/>
      <c r="W37" s="39"/>
      <c r="X37" s="39"/>
      <c r="Y37" s="39"/>
      <c r="Z37" s="159">
        <v>0.33</v>
      </c>
      <c r="AA37" s="80"/>
      <c r="AB37" s="43" t="s">
        <v>42</v>
      </c>
      <c r="AC37" s="76"/>
      <c r="AF37" s="32" t="s">
        <v>116</v>
      </c>
      <c r="AG37" s="33"/>
      <c r="AI37" s="161">
        <v>0.96</v>
      </c>
      <c r="AJ37" s="46"/>
      <c r="AK37" s="33" t="s">
        <v>179</v>
      </c>
      <c r="AL37" s="33"/>
      <c r="AM37" s="33"/>
      <c r="AN37" s="35"/>
      <c r="AT37" s="61" t="s">
        <v>37</v>
      </c>
      <c r="AU37" s="62"/>
      <c r="AV37" s="63"/>
      <c r="AW37" s="63"/>
      <c r="AX37" s="164">
        <v>0.2</v>
      </c>
      <c r="AY37" s="63"/>
      <c r="AZ37" s="62"/>
      <c r="BA37" s="64"/>
      <c r="BH37" s="40" t="s">
        <v>176</v>
      </c>
      <c r="BN37" s="100" t="s">
        <v>241</v>
      </c>
      <c r="BP37" s="183">
        <f t="shared" ref="BP37" si="0">I52</f>
        <v>0.54764705882352938</v>
      </c>
      <c r="BR37" s="40" t="s">
        <v>220</v>
      </c>
    </row>
    <row r="38" spans="2:73" ht="10.5" customHeight="1" thickTop="1" x14ac:dyDescent="0.15">
      <c r="B38" s="29"/>
      <c r="C38" s="30" t="s">
        <v>47</v>
      </c>
      <c r="D38" s="30"/>
      <c r="E38" s="30"/>
      <c r="F38" s="30"/>
      <c r="G38" s="31"/>
      <c r="J38" s="82"/>
      <c r="K38" s="71"/>
      <c r="L38" s="71"/>
      <c r="M38" s="71"/>
      <c r="N38" s="83"/>
      <c r="T38" s="74" t="s">
        <v>48</v>
      </c>
      <c r="U38" s="79"/>
      <c r="V38" s="39"/>
      <c r="W38" s="39"/>
      <c r="X38" s="39"/>
      <c r="Y38" s="39"/>
      <c r="Z38" s="39"/>
      <c r="AA38" s="159">
        <v>0.33</v>
      </c>
      <c r="AB38" s="78"/>
      <c r="AC38" s="84" t="s">
        <v>42</v>
      </c>
      <c r="AF38" s="32" t="s">
        <v>49</v>
      </c>
      <c r="AG38" s="33"/>
      <c r="AH38" s="37">
        <f>(K8*K10/100*AA38*AI36+W8*W10/100*Z36*AI34+S50*S52/100*Z37*AI35+AY15*AY17/100*AA40*AI37)*1000</f>
        <v>2686.8247575</v>
      </c>
      <c r="AI38" s="37"/>
      <c r="AJ38" s="37"/>
      <c r="AK38" s="33" t="s">
        <v>25</v>
      </c>
      <c r="AL38" s="33"/>
      <c r="AM38" s="33"/>
      <c r="AN38" s="35"/>
      <c r="AT38" s="61" t="s">
        <v>38</v>
      </c>
      <c r="AU38" s="62"/>
      <c r="AV38" s="63"/>
      <c r="AW38" s="63">
        <f>ROUND(AW34*AI40*AX37,-1)</f>
        <v>0</v>
      </c>
      <c r="AX38" s="63"/>
      <c r="AY38" s="63"/>
      <c r="AZ38" s="62" t="s">
        <v>39</v>
      </c>
      <c r="BA38" s="64"/>
      <c r="BH38" s="40" t="s">
        <v>178</v>
      </c>
    </row>
    <row r="39" spans="2:73" ht="10.5" customHeight="1" x14ac:dyDescent="0.15">
      <c r="B39" s="32" t="s">
        <v>50</v>
      </c>
      <c r="C39" s="33"/>
      <c r="D39" s="85">
        <f>ROUNDUP((S49+K7)*1.4*140/600,2)</f>
        <v>4.5699999999999994</v>
      </c>
      <c r="E39" s="37"/>
      <c r="F39" s="33" t="s">
        <v>26</v>
      </c>
      <c r="G39" s="35"/>
      <c r="J39" s="86" t="s">
        <v>51</v>
      </c>
      <c r="K39" s="87"/>
      <c r="L39" s="87"/>
      <c r="M39" s="87"/>
      <c r="N39" s="84"/>
      <c r="P39" s="88"/>
      <c r="T39" s="74"/>
      <c r="U39" s="79"/>
      <c r="V39" s="39"/>
      <c r="W39" s="39"/>
      <c r="X39" s="39"/>
      <c r="Y39" s="39"/>
      <c r="Z39" s="39"/>
      <c r="AA39" s="159"/>
      <c r="AB39" s="78"/>
      <c r="AC39" s="84"/>
      <c r="AF39" s="32" t="s">
        <v>52</v>
      </c>
      <c r="AG39" s="33"/>
      <c r="AH39" s="37"/>
      <c r="AI39" s="162">
        <v>0.6</v>
      </c>
      <c r="AJ39" s="37"/>
      <c r="AK39" s="33"/>
      <c r="AL39" s="33"/>
      <c r="AM39" s="33"/>
      <c r="AN39" s="35"/>
    </row>
    <row r="40" spans="2:73" ht="10.5" customHeight="1" thickBot="1" x14ac:dyDescent="0.2">
      <c r="B40" s="32"/>
      <c r="C40" s="37">
        <f>ROUND((S49+K7)*1.4*(BP51-BP50)*4.186,0)</f>
        <v>11460</v>
      </c>
      <c r="D40" s="37"/>
      <c r="E40" s="37"/>
      <c r="F40" s="33" t="s">
        <v>39</v>
      </c>
      <c r="G40" s="35"/>
      <c r="J40" s="90"/>
      <c r="K40" s="91"/>
      <c r="L40" s="92"/>
      <c r="M40" s="92"/>
      <c r="N40" s="93"/>
      <c r="P40" s="88"/>
      <c r="T40" s="94" t="s">
        <v>54</v>
      </c>
      <c r="U40" s="95"/>
      <c r="V40" s="96"/>
      <c r="W40" s="96"/>
      <c r="X40" s="96"/>
      <c r="Y40" s="96"/>
      <c r="Z40" s="96"/>
      <c r="AA40" s="160">
        <v>0.72</v>
      </c>
      <c r="AB40" s="97"/>
      <c r="AC40" s="93" t="s">
        <v>42</v>
      </c>
      <c r="AF40" s="32" t="s">
        <v>55</v>
      </c>
      <c r="AG40" s="33"/>
      <c r="AH40" s="37"/>
      <c r="AI40" s="163">
        <f>'入力シート（実証技術）'!L34</f>
        <v>21.4</v>
      </c>
      <c r="AJ40" s="85"/>
      <c r="AK40" s="33" t="s">
        <v>98</v>
      </c>
      <c r="AL40" s="33"/>
      <c r="AM40" s="33"/>
      <c r="AN40" s="35"/>
    </row>
    <row r="41" spans="2:73" ht="10.5" customHeight="1" thickTop="1" x14ac:dyDescent="0.15">
      <c r="B41" s="29"/>
      <c r="C41" s="30" t="s">
        <v>53</v>
      </c>
      <c r="D41" s="89"/>
      <c r="E41" s="30"/>
      <c r="F41" s="30"/>
      <c r="G41" s="31"/>
      <c r="P41" s="98"/>
      <c r="W41" s="87"/>
      <c r="X41" s="87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N41" s="39"/>
      <c r="AO41" s="39"/>
      <c r="AP41" s="75"/>
      <c r="AQ41" s="75"/>
      <c r="AR41" s="39"/>
      <c r="AS41" s="39"/>
      <c r="AT41" s="29"/>
      <c r="AU41" s="30"/>
      <c r="AV41" s="30" t="s">
        <v>56</v>
      </c>
      <c r="AW41" s="30"/>
      <c r="AX41" s="30"/>
      <c r="AY41" s="30"/>
      <c r="AZ41" s="30"/>
      <c r="BA41" s="31"/>
      <c r="BG41" s="173" t="s">
        <v>231</v>
      </c>
    </row>
    <row r="42" spans="2:73" ht="10.5" customHeight="1" x14ac:dyDescent="0.15">
      <c r="B42" s="32" t="s">
        <v>147</v>
      </c>
      <c r="C42" s="33"/>
      <c r="D42" s="85">
        <f>AC25*(X33-AC29)/600*1.3-D39</f>
        <v>-2.9099999999999682E-2</v>
      </c>
      <c r="E42" s="37"/>
      <c r="F42" s="33" t="s">
        <v>26</v>
      </c>
      <c r="G42" s="35"/>
      <c r="P42" s="29"/>
      <c r="Q42" s="30" t="s">
        <v>57</v>
      </c>
      <c r="R42" s="30"/>
      <c r="S42" s="30"/>
      <c r="T42" s="30"/>
      <c r="U42" s="30"/>
      <c r="V42" s="31"/>
      <c r="W42" s="87"/>
      <c r="AT42" s="32" t="s">
        <v>58</v>
      </c>
      <c r="AU42" s="33"/>
      <c r="AV42" s="33"/>
      <c r="AW42" s="37">
        <f>AW43/AX44/AI40</f>
        <v>616.65750412314458</v>
      </c>
      <c r="AX42" s="37"/>
      <c r="AY42" s="37"/>
      <c r="AZ42" s="33" t="s">
        <v>25</v>
      </c>
      <c r="BA42" s="35"/>
    </row>
    <row r="43" spans="2:73" ht="10.5" customHeight="1" x14ac:dyDescent="0.15">
      <c r="B43" s="32"/>
      <c r="C43" s="37">
        <f>AS48-C40</f>
        <v>-55</v>
      </c>
      <c r="D43" s="37"/>
      <c r="E43" s="37"/>
      <c r="F43" s="33" t="s">
        <v>39</v>
      </c>
      <c r="G43" s="35"/>
      <c r="P43" s="32" t="s">
        <v>59</v>
      </c>
      <c r="Q43" s="33"/>
      <c r="R43" s="33"/>
      <c r="S43" s="41">
        <f>S49+D39+K7</f>
        <v>18.538181818181815</v>
      </c>
      <c r="T43" s="37"/>
      <c r="U43" s="33" t="s">
        <v>25</v>
      </c>
      <c r="V43" s="35"/>
      <c r="W43" s="87"/>
      <c r="AT43" s="99" t="s">
        <v>60</v>
      </c>
      <c r="AU43" s="33"/>
      <c r="AV43" s="33"/>
      <c r="AW43" s="37">
        <f>AT56</f>
        <v>11217</v>
      </c>
      <c r="AX43" s="37"/>
      <c r="AY43" s="37"/>
      <c r="AZ43" s="33" t="s">
        <v>39</v>
      </c>
      <c r="BA43" s="35"/>
      <c r="BG43" s="174" t="s">
        <v>249</v>
      </c>
      <c r="BH43" s="40" t="s">
        <v>223</v>
      </c>
      <c r="BN43" s="179"/>
      <c r="BO43" s="179"/>
      <c r="BQ43" s="100" t="s">
        <v>237</v>
      </c>
      <c r="BS43" s="182">
        <f>'入力シート（実証技術）'!L51</f>
        <v>62.9</v>
      </c>
      <c r="BU43" s="40" t="s">
        <v>233</v>
      </c>
    </row>
    <row r="44" spans="2:73" ht="10.5" customHeight="1" x14ac:dyDescent="0.15">
      <c r="P44" s="32" t="s">
        <v>61</v>
      </c>
      <c r="Q44" s="33"/>
      <c r="R44" s="33"/>
      <c r="S44" s="41">
        <f>S50+K8</f>
        <v>2.7929999999999997</v>
      </c>
      <c r="T44" s="41"/>
      <c r="U44" s="33" t="s">
        <v>26</v>
      </c>
      <c r="V44" s="35"/>
      <c r="AT44" s="32" t="s">
        <v>62</v>
      </c>
      <c r="AU44" s="33"/>
      <c r="AV44" s="37"/>
      <c r="AW44" s="37"/>
      <c r="AX44" s="162">
        <v>0.85</v>
      </c>
      <c r="AY44" s="37"/>
      <c r="AZ44" s="33"/>
      <c r="BA44" s="35"/>
      <c r="BH44" s="40" t="s">
        <v>224</v>
      </c>
      <c r="BN44" s="178"/>
      <c r="BO44" s="178"/>
      <c r="BQ44" s="100" t="s">
        <v>237</v>
      </c>
      <c r="BS44" s="181">
        <f>AD49</f>
        <v>62.88861787044042</v>
      </c>
      <c r="BU44" s="40" t="s">
        <v>234</v>
      </c>
    </row>
    <row r="45" spans="2:73" ht="10.5" customHeight="1" x14ac:dyDescent="0.15">
      <c r="P45" s="32" t="s">
        <v>63</v>
      </c>
      <c r="Q45" s="33"/>
      <c r="R45" s="33"/>
      <c r="S45" s="45">
        <f>S44/S43*100</f>
        <v>15.066202432326403</v>
      </c>
      <c r="T45" s="41"/>
      <c r="U45" s="33" t="s">
        <v>64</v>
      </c>
      <c r="V45" s="35"/>
      <c r="AA45" s="29"/>
      <c r="AB45" s="30" t="s">
        <v>65</v>
      </c>
      <c r="AC45" s="30"/>
      <c r="AD45" s="30"/>
      <c r="AE45" s="30"/>
      <c r="AF45" s="30"/>
      <c r="AG45" s="31"/>
    </row>
    <row r="46" spans="2:73" ht="10.5" customHeight="1" x14ac:dyDescent="0.15">
      <c r="P46" s="32" t="s">
        <v>148</v>
      </c>
      <c r="Q46" s="33"/>
      <c r="R46" s="33"/>
      <c r="S46" s="45">
        <f>(K8*K10+S50*S52)/S44</f>
        <v>66.573469387755097</v>
      </c>
      <c r="T46" s="41"/>
      <c r="U46" s="33" t="s">
        <v>64</v>
      </c>
      <c r="V46" s="35"/>
      <c r="W46" s="87"/>
      <c r="X46" s="51"/>
      <c r="Y46" s="51"/>
      <c r="Z46" s="51"/>
      <c r="AA46" s="32" t="s">
        <v>149</v>
      </c>
      <c r="AB46" s="33"/>
      <c r="AC46" s="33"/>
      <c r="AD46" s="45">
        <f>AC25+S43</f>
        <v>168.2381818181818</v>
      </c>
      <c r="AE46" s="37"/>
      <c r="AF46" s="33" t="s">
        <v>25</v>
      </c>
      <c r="AG46" s="35"/>
      <c r="AR46" s="40" t="s">
        <v>66</v>
      </c>
    </row>
    <row r="47" spans="2:73" ht="10.5" customHeight="1" x14ac:dyDescent="0.15">
      <c r="W47" s="87"/>
      <c r="AA47" s="32" t="s">
        <v>150</v>
      </c>
      <c r="AB47" s="33"/>
      <c r="AC47" s="33"/>
      <c r="AD47" s="41">
        <f>K8-K8*K10/100*AA38+W8-W8*W10/100*Z36+S50-S50*S52/100*Z37+AY15-AY15*AY17/100*AA40</f>
        <v>5.3449989899999997</v>
      </c>
      <c r="AE47" s="41"/>
      <c r="AF47" s="33" t="s">
        <v>26</v>
      </c>
      <c r="AG47" s="35"/>
      <c r="AR47" s="40" t="str">
        <f>"q1= "&amp;FIXED(AC25,1)&amp;" × ("&amp;FIXED(X33,0)&amp;"　- "&amp;FIXED(AC29,0)&amp;") ×1.3×4.186"</f>
        <v>q1= 149.7 × (37　- 23) ×1.3×4.186</v>
      </c>
      <c r="BG47" s="173" t="s">
        <v>246</v>
      </c>
    </row>
    <row r="48" spans="2:73" ht="10.5" customHeight="1" x14ac:dyDescent="0.15">
      <c r="M48" s="51"/>
      <c r="N48" s="51"/>
      <c r="O48" s="52"/>
      <c r="P48" s="29" t="s">
        <v>67</v>
      </c>
      <c r="Q48" s="30"/>
      <c r="R48" s="30"/>
      <c r="S48" s="30"/>
      <c r="T48" s="30"/>
      <c r="U48" s="30"/>
      <c r="V48" s="31"/>
      <c r="W48" s="87"/>
      <c r="AA48" s="32" t="s">
        <v>151</v>
      </c>
      <c r="AB48" s="33"/>
      <c r="AC48" s="33"/>
      <c r="AD48" s="41">
        <f>AD47/AD46*100</f>
        <v>3.177042768909879</v>
      </c>
      <c r="AE48" s="41"/>
      <c r="AF48" s="33" t="s">
        <v>134</v>
      </c>
      <c r="AG48" s="35"/>
      <c r="AR48" s="100" t="s">
        <v>152</v>
      </c>
      <c r="AS48" s="75">
        <f>ROUND(AC25*(X33-AC29)*1.3*4.186,0)</f>
        <v>11405</v>
      </c>
      <c r="AT48" s="75"/>
      <c r="AU48" s="75"/>
      <c r="AV48" s="39" t="s">
        <v>39</v>
      </c>
      <c r="AW48" s="39"/>
    </row>
    <row r="49" spans="2:68" ht="10.5" customHeight="1" x14ac:dyDescent="0.15">
      <c r="P49" s="32" t="s">
        <v>69</v>
      </c>
      <c r="Q49" s="33"/>
      <c r="R49" s="33"/>
      <c r="S49" s="45">
        <f>S50/S51*100</f>
        <v>9.9681818181818169</v>
      </c>
      <c r="T49" s="37"/>
      <c r="U49" s="33" t="s">
        <v>70</v>
      </c>
      <c r="V49" s="35"/>
      <c r="W49" s="87"/>
      <c r="AA49" s="32" t="s">
        <v>153</v>
      </c>
      <c r="AB49" s="33"/>
      <c r="AC49" s="33"/>
      <c r="AD49" s="45">
        <f>(K8*K10/100*(1-AA38)+W8*W10/100*(1-Z36)+S50*S52/100*(1-Z37)+AY15*AY17/100*(1-AA40))/AD47*100</f>
        <v>62.88861787044042</v>
      </c>
      <c r="AE49" s="41"/>
      <c r="AF49" s="33" t="s">
        <v>134</v>
      </c>
      <c r="AG49" s="35"/>
      <c r="AH49" s="67"/>
    </row>
    <row r="50" spans="2:68" ht="10.5" customHeight="1" x14ac:dyDescent="0.15">
      <c r="E50" s="40" t="s">
        <v>176</v>
      </c>
      <c r="I50" s="42">
        <f>IF('入力シート（実証技術）'!L9="あり",0.43,0.5)</f>
        <v>0.43</v>
      </c>
      <c r="J50" s="42"/>
      <c r="P50" s="32" t="s">
        <v>71</v>
      </c>
      <c r="Q50" s="33"/>
      <c r="R50" s="33"/>
      <c r="S50" s="41">
        <f>AC19*I50</f>
        <v>2.1929999999999996</v>
      </c>
      <c r="T50" s="41"/>
      <c r="U50" s="33" t="s">
        <v>26</v>
      </c>
      <c r="V50" s="35"/>
      <c r="W50" s="87"/>
      <c r="AH50" s="67"/>
      <c r="AI50" s="39"/>
      <c r="AP50" s="75"/>
      <c r="AQ50" s="75"/>
      <c r="AR50" s="39" t="s">
        <v>72</v>
      </c>
      <c r="AS50" s="39"/>
      <c r="BH50" s="39" t="s">
        <v>204</v>
      </c>
      <c r="BI50" s="39"/>
      <c r="BJ50" s="39"/>
      <c r="BN50" s="178" t="s">
        <v>240</v>
      </c>
      <c r="BO50" s="178"/>
      <c r="BP50" s="189">
        <v>25</v>
      </c>
    </row>
    <row r="51" spans="2:68" ht="10.5" customHeight="1" x14ac:dyDescent="0.15">
      <c r="E51" s="40" t="s">
        <v>177</v>
      </c>
      <c r="P51" s="32" t="s">
        <v>154</v>
      </c>
      <c r="Q51" s="33"/>
      <c r="R51" s="33"/>
      <c r="S51" s="45">
        <f>AD62</f>
        <v>22</v>
      </c>
      <c r="T51" s="41"/>
      <c r="U51" s="33" t="s">
        <v>64</v>
      </c>
      <c r="V51" s="35"/>
      <c r="W51" s="87"/>
      <c r="AH51" s="67"/>
      <c r="AI51" s="39"/>
      <c r="AJ51" s="39"/>
      <c r="AO51" s="39"/>
      <c r="AP51" s="75"/>
      <c r="AQ51" s="75"/>
      <c r="AS51" s="100" t="s">
        <v>155</v>
      </c>
      <c r="AT51" s="39">
        <v>4.5</v>
      </c>
      <c r="AU51" s="40" t="s">
        <v>156</v>
      </c>
      <c r="AV51" s="40">
        <v>40</v>
      </c>
      <c r="AW51" s="101" t="s">
        <v>157</v>
      </c>
      <c r="AX51" s="40">
        <v>30</v>
      </c>
      <c r="AY51" s="40" t="s">
        <v>158</v>
      </c>
      <c r="BH51" s="40" t="s">
        <v>207</v>
      </c>
      <c r="BN51" s="178" t="s">
        <v>240</v>
      </c>
      <c r="BO51" s="178"/>
      <c r="BP51" s="189">
        <v>165</v>
      </c>
    </row>
    <row r="52" spans="2:68" ht="10.5" customHeight="1" x14ac:dyDescent="0.15">
      <c r="E52" s="40" t="s">
        <v>176</v>
      </c>
      <c r="I52" s="41">
        <f>S44/W8</f>
        <v>0.54764705882352938</v>
      </c>
      <c r="J52" s="41"/>
      <c r="P52" s="32" t="s">
        <v>159</v>
      </c>
      <c r="Q52" s="33"/>
      <c r="R52" s="33"/>
      <c r="S52" s="157">
        <f>'入力シート（実証技術）'!L51</f>
        <v>62.9</v>
      </c>
      <c r="T52" s="42"/>
      <c r="U52" s="33" t="s">
        <v>195</v>
      </c>
      <c r="V52" s="35"/>
      <c r="W52" s="87"/>
      <c r="AH52" s="67"/>
      <c r="AI52" s="39"/>
      <c r="AJ52" s="39"/>
      <c r="AN52" s="39"/>
      <c r="AO52" s="39"/>
      <c r="AP52" s="75"/>
      <c r="AQ52" s="75"/>
      <c r="AS52" s="100" t="s">
        <v>68</v>
      </c>
      <c r="AT52" s="75">
        <f>ROUND(AT51*(AV51-AX51)*4.186,0)</f>
        <v>188</v>
      </c>
      <c r="AU52" s="75"/>
      <c r="AV52" s="75"/>
      <c r="AW52" s="39" t="s">
        <v>39</v>
      </c>
      <c r="AX52" s="39"/>
    </row>
    <row r="53" spans="2:68" ht="10.5" customHeight="1" x14ac:dyDescent="0.15">
      <c r="E53" s="40" t="s">
        <v>178</v>
      </c>
      <c r="P53" s="40" t="s">
        <v>196</v>
      </c>
      <c r="W53" s="87"/>
      <c r="AI53" s="39"/>
      <c r="AJ53" s="39"/>
      <c r="AN53" s="39"/>
      <c r="AO53" s="39"/>
      <c r="AP53" s="75"/>
      <c r="AQ53" s="75"/>
      <c r="AR53" s="39"/>
      <c r="AS53" s="39"/>
    </row>
    <row r="54" spans="2:68" ht="10.5" customHeight="1" x14ac:dyDescent="0.15">
      <c r="P54" s="40" t="s">
        <v>197</v>
      </c>
      <c r="U54" s="43"/>
      <c r="V54" s="102"/>
      <c r="W54" s="87"/>
      <c r="AI54" s="39"/>
      <c r="AJ54" s="39"/>
      <c r="AN54" s="39"/>
      <c r="AO54" s="39"/>
      <c r="AP54" s="75"/>
      <c r="AQ54" s="75"/>
      <c r="AR54" s="39" t="s">
        <v>73</v>
      </c>
      <c r="AS54" s="39"/>
    </row>
    <row r="55" spans="2:68" ht="10.5" customHeight="1" thickBot="1" x14ac:dyDescent="0.2">
      <c r="AS55" s="103" t="s">
        <v>160</v>
      </c>
    </row>
    <row r="56" spans="2:68" ht="10.5" customHeight="1" thickTop="1" x14ac:dyDescent="0.15">
      <c r="B56" s="104" t="s">
        <v>74</v>
      </c>
      <c r="C56" s="105"/>
      <c r="D56" s="105"/>
      <c r="E56" s="105"/>
      <c r="F56" s="105"/>
      <c r="G56" s="106"/>
      <c r="U56" s="68"/>
      <c r="V56" s="71" t="s">
        <v>75</v>
      </c>
      <c r="W56" s="71"/>
      <c r="X56" s="71"/>
      <c r="Y56" s="71"/>
      <c r="Z56" s="73"/>
      <c r="AA56" s="39"/>
      <c r="AB56" s="39"/>
      <c r="AI56" s="29"/>
      <c r="AJ56" s="30" t="s">
        <v>76</v>
      </c>
      <c r="AK56" s="30"/>
      <c r="AL56" s="30"/>
      <c r="AM56" s="30"/>
      <c r="AN56" s="31"/>
      <c r="AS56" s="100" t="s">
        <v>68</v>
      </c>
      <c r="AT56" s="75">
        <f>AS48-AT52</f>
        <v>11217</v>
      </c>
      <c r="AU56" s="75"/>
      <c r="AV56" s="75"/>
      <c r="AW56" s="39" t="s">
        <v>39</v>
      </c>
      <c r="AX56" s="39"/>
    </row>
    <row r="57" spans="2:68" ht="10.5" customHeight="1" thickBot="1" x14ac:dyDescent="0.2">
      <c r="B57" s="32" t="s">
        <v>161</v>
      </c>
      <c r="C57" s="33"/>
      <c r="D57" s="37">
        <f>(AD46+AK58-AD60)</f>
        <v>191.07590477545452</v>
      </c>
      <c r="E57" s="37"/>
      <c r="F57" s="33" t="s">
        <v>25</v>
      </c>
      <c r="G57" s="35"/>
      <c r="U57" s="107"/>
      <c r="V57" s="91" t="s">
        <v>77</v>
      </c>
      <c r="W57" s="92">
        <f>BP33/100</f>
        <v>0.93</v>
      </c>
      <c r="X57" s="92"/>
      <c r="Y57" s="108" t="s">
        <v>162</v>
      </c>
      <c r="Z57" s="93"/>
      <c r="AA57" s="43"/>
      <c r="AB57" s="43"/>
      <c r="AI57" s="29" t="s">
        <v>78</v>
      </c>
      <c r="AJ57" s="30"/>
      <c r="AK57" s="109">
        <v>1.7000000000000001E-2</v>
      </c>
      <c r="AL57" s="110"/>
      <c r="AM57" s="30" t="s">
        <v>162</v>
      </c>
      <c r="AN57" s="31"/>
    </row>
    <row r="58" spans="2:68" ht="10.5" customHeight="1" thickTop="1" x14ac:dyDescent="0.15">
      <c r="B58" s="32" t="s">
        <v>163</v>
      </c>
      <c r="C58" s="33"/>
      <c r="D58" s="41">
        <f>(AD47-AD61)</f>
        <v>0.37414992929999968</v>
      </c>
      <c r="E58" s="41"/>
      <c r="F58" s="33" t="s">
        <v>26</v>
      </c>
      <c r="G58" s="35"/>
      <c r="U58" s="43"/>
      <c r="V58" s="102"/>
      <c r="W58" s="87"/>
      <c r="X58" s="87"/>
      <c r="Y58" s="43"/>
      <c r="Z58" s="43"/>
      <c r="AA58" s="43"/>
      <c r="AB58" s="43"/>
      <c r="AI58" s="32" t="s">
        <v>164</v>
      </c>
      <c r="AJ58" s="33"/>
      <c r="AK58" s="37">
        <f>AK59/0.2*100/1000</f>
        <v>45.432491414999994</v>
      </c>
      <c r="AL58" s="37"/>
      <c r="AM58" s="33" t="s">
        <v>25</v>
      </c>
      <c r="AN58" s="35"/>
      <c r="AR58" s="39" t="s">
        <v>165</v>
      </c>
    </row>
    <row r="59" spans="2:68" ht="10.5" customHeight="1" x14ac:dyDescent="0.15">
      <c r="U59" s="43"/>
      <c r="V59" s="102"/>
      <c r="W59" s="87"/>
      <c r="X59" s="51"/>
      <c r="Y59" s="51"/>
      <c r="Z59" s="52"/>
      <c r="AA59" s="29"/>
      <c r="AB59" s="30" t="s">
        <v>79</v>
      </c>
      <c r="AC59" s="30"/>
      <c r="AD59" s="30"/>
      <c r="AE59" s="30"/>
      <c r="AF59" s="30"/>
      <c r="AG59" s="31"/>
      <c r="AI59" s="32" t="s">
        <v>166</v>
      </c>
      <c r="AJ59" s="33"/>
      <c r="AK59" s="37">
        <f>(AD47)*AK57*1000</f>
        <v>90.864982830000002</v>
      </c>
      <c r="AL59" s="41"/>
      <c r="AM59" s="33" t="s">
        <v>80</v>
      </c>
      <c r="AN59" s="35"/>
      <c r="AR59" s="111" t="str">
        <f>"Q32　= "&amp;FIXED(AW35,0)&amp;" ÷　"&amp;FIXED(AX36,2)&amp;"　×　3.6 ÷ "&amp;FIXED(AI40,2)&amp;"　×　24"</f>
        <v>Q32　= 0 ÷　0.48　×　3.6 ÷ 21.40　×　24</v>
      </c>
      <c r="AS59" s="111"/>
      <c r="AT59" s="111"/>
      <c r="AU59" s="111"/>
      <c r="AV59" s="111"/>
      <c r="AW59" s="111"/>
      <c r="AX59" s="111"/>
    </row>
    <row r="60" spans="2:68" ht="10.5" customHeight="1" x14ac:dyDescent="0.15">
      <c r="U60" s="43"/>
      <c r="V60" s="102"/>
      <c r="W60" s="87"/>
      <c r="X60" s="39"/>
      <c r="Y60" s="39"/>
      <c r="Z60" s="112"/>
      <c r="AA60" s="32" t="s">
        <v>167</v>
      </c>
      <c r="AB60" s="33"/>
      <c r="AC60" s="33"/>
      <c r="AD60" s="45">
        <f>AD61/AD62*100</f>
        <v>22.594768457727273</v>
      </c>
      <c r="AE60" s="37"/>
      <c r="AF60" s="33" t="s">
        <v>70</v>
      </c>
      <c r="AG60" s="35"/>
      <c r="AR60" s="113" t="s">
        <v>68</v>
      </c>
      <c r="AS60" s="114">
        <f>ROUND(AW35/AX36*3.6/AI40*24,0)</f>
        <v>0</v>
      </c>
      <c r="AT60" s="114"/>
      <c r="AU60" s="114"/>
      <c r="AV60" s="115" t="s">
        <v>168</v>
      </c>
      <c r="AW60" s="115"/>
      <c r="AX60" s="111"/>
    </row>
    <row r="61" spans="2:68" ht="10.5" customHeight="1" x14ac:dyDescent="0.15">
      <c r="X61" s="39"/>
      <c r="Y61" s="39"/>
      <c r="Z61" s="39"/>
      <c r="AA61" s="32" t="s">
        <v>81</v>
      </c>
      <c r="AB61" s="33"/>
      <c r="AC61" s="33"/>
      <c r="AD61" s="41">
        <f>(AD47)*W57</f>
        <v>4.9708490607</v>
      </c>
      <c r="AE61" s="41"/>
      <c r="AF61" s="33" t="s">
        <v>26</v>
      </c>
      <c r="AG61" s="35"/>
      <c r="AH61" s="39"/>
    </row>
    <row r="62" spans="2:68" ht="10.5" customHeight="1" x14ac:dyDescent="0.15">
      <c r="AA62" s="32" t="s">
        <v>82</v>
      </c>
      <c r="AB62" s="33"/>
      <c r="AC62" s="33"/>
      <c r="AD62" s="157">
        <f>100-BP31</f>
        <v>22</v>
      </c>
      <c r="AE62" s="42"/>
      <c r="AF62" s="33" t="s">
        <v>121</v>
      </c>
      <c r="AG62" s="35"/>
    </row>
    <row r="63" spans="2:68" ht="10.5" customHeight="1" x14ac:dyDescent="0.15">
      <c r="AA63" s="32" t="s">
        <v>83</v>
      </c>
      <c r="AB63" s="33"/>
      <c r="AC63" s="33"/>
      <c r="AD63" s="45">
        <f>S52</f>
        <v>62.9</v>
      </c>
      <c r="AE63" s="41"/>
      <c r="AF63" s="33" t="s">
        <v>64</v>
      </c>
      <c r="AG63" s="35"/>
      <c r="AP63" s="40" t="s">
        <v>84</v>
      </c>
    </row>
    <row r="64" spans="2:68" ht="10.5" customHeight="1" x14ac:dyDescent="0.15">
      <c r="AO64" s="40" t="s">
        <v>85</v>
      </c>
      <c r="AP64" s="40" t="s">
        <v>86</v>
      </c>
      <c r="AQ64" s="101"/>
    </row>
    <row r="65" spans="2:46" ht="10.5" customHeight="1" x14ac:dyDescent="0.15">
      <c r="X65" s="51"/>
      <c r="Y65" s="51"/>
      <c r="Z65" s="52"/>
      <c r="AA65" s="29"/>
      <c r="AB65" s="30" t="s">
        <v>87</v>
      </c>
      <c r="AC65" s="30"/>
      <c r="AD65" s="30"/>
      <c r="AE65" s="30"/>
      <c r="AF65" s="30"/>
      <c r="AG65" s="31"/>
      <c r="AP65" s="40" t="str">
        <f>"= "&amp;FIXED(W8,2)&amp;" × "&amp;FIXED(W10,1)&amp;"/100 × "&amp;FIXED(Z36,2)&amp;"× "&amp;FIXED(AI34,2)&amp;"×1000 Nm3/VS-分解"</f>
        <v>= 5.10 × 80.0/100 × 0.50× 1.00×1000 Nm3/VS-分解</v>
      </c>
    </row>
    <row r="66" spans="2:46" ht="10.5" customHeight="1" x14ac:dyDescent="0.15">
      <c r="X66" s="39"/>
      <c r="Y66" s="39"/>
      <c r="Z66" s="112"/>
      <c r="AA66" s="32" t="s">
        <v>88</v>
      </c>
      <c r="AB66" s="33"/>
      <c r="AC66" s="33"/>
      <c r="AD66" s="45">
        <f>AD60-S49</f>
        <v>12.626586639545456</v>
      </c>
      <c r="AE66" s="37"/>
      <c r="AF66" s="33" t="s">
        <v>70</v>
      </c>
      <c r="AG66" s="35"/>
      <c r="AP66" s="101" t="s">
        <v>169</v>
      </c>
      <c r="AQ66" s="116">
        <f>W8*W10/100*Z36*AI34*1000</f>
        <v>2040</v>
      </c>
      <c r="AR66" s="116"/>
      <c r="AS66" s="116"/>
      <c r="AT66" s="40" t="s">
        <v>89</v>
      </c>
    </row>
    <row r="67" spans="2:46" ht="10.5" customHeight="1" x14ac:dyDescent="0.15">
      <c r="E67" s="167" t="s">
        <v>198</v>
      </c>
      <c r="G67" s="167" t="s">
        <v>199</v>
      </c>
      <c r="X67" s="39"/>
      <c r="Y67" s="39"/>
      <c r="Z67" s="39"/>
      <c r="AA67" s="32" t="s">
        <v>170</v>
      </c>
      <c r="AB67" s="33"/>
      <c r="AC67" s="33"/>
      <c r="AD67" s="41">
        <f>AD61-S50</f>
        <v>2.7778490607000004</v>
      </c>
      <c r="AE67" s="41"/>
      <c r="AF67" s="33" t="s">
        <v>26</v>
      </c>
      <c r="AG67" s="35"/>
      <c r="AO67" s="40" t="s">
        <v>171</v>
      </c>
      <c r="AP67" s="40" t="s">
        <v>90</v>
      </c>
    </row>
    <row r="68" spans="2:46" ht="10.5" customHeight="1" x14ac:dyDescent="0.15">
      <c r="E68" s="168" t="s">
        <v>200</v>
      </c>
      <c r="F68" s="168"/>
      <c r="G68" s="168" t="s">
        <v>201</v>
      </c>
      <c r="H68" s="168"/>
      <c r="I68" s="168"/>
      <c r="AA68" s="32" t="s">
        <v>172</v>
      </c>
      <c r="AB68" s="33"/>
      <c r="AC68" s="33"/>
      <c r="AD68" s="45">
        <f>AD62</f>
        <v>22</v>
      </c>
      <c r="AE68" s="41"/>
      <c r="AF68" s="33" t="s">
        <v>121</v>
      </c>
      <c r="AG68" s="35"/>
      <c r="AP68" s="40" t="str">
        <f>"= "&amp;FIXED(AY15,3)&amp;" × "&amp;FIXED(AY17,1)&amp;"/100 × "&amp;FIXED(AA40,2)&amp;"× "&amp;FIXED(AI37,2)&amp;"×1000 Nm3/VS-分解"</f>
        <v>= 0.300 × 90.0/100 × 0.72× 0.96×1000 Nm3/VS-分解</v>
      </c>
    </row>
    <row r="69" spans="2:46" ht="10.5" customHeight="1" x14ac:dyDescent="0.15">
      <c r="E69" s="170" t="s">
        <v>205</v>
      </c>
      <c r="F69" s="170"/>
      <c r="G69" s="170" t="s">
        <v>206</v>
      </c>
      <c r="H69" s="170"/>
      <c r="I69" s="170"/>
      <c r="AA69" s="32" t="s">
        <v>173</v>
      </c>
      <c r="AB69" s="33"/>
      <c r="AC69" s="33"/>
      <c r="AD69" s="45">
        <f>AD63</f>
        <v>62.9</v>
      </c>
      <c r="AE69" s="41"/>
      <c r="AF69" s="33" t="s">
        <v>121</v>
      </c>
      <c r="AG69" s="35"/>
      <c r="AP69" s="101" t="s">
        <v>174</v>
      </c>
      <c r="AQ69" s="116">
        <f>AY15*AY17/100*AA40*AI37*1000</f>
        <v>186.62400000000002</v>
      </c>
      <c r="AR69" s="116"/>
      <c r="AS69" s="116"/>
      <c r="AT69" s="40" t="s">
        <v>89</v>
      </c>
    </row>
    <row r="70" spans="2:46" ht="10.5" customHeight="1" x14ac:dyDescent="0.15">
      <c r="G70" s="168"/>
      <c r="AO70" s="40" t="s">
        <v>91</v>
      </c>
      <c r="AP70" s="40" t="s">
        <v>92</v>
      </c>
      <c r="AQ70" s="101"/>
    </row>
    <row r="71" spans="2:46" ht="10.5" customHeight="1" x14ac:dyDescent="0.15">
      <c r="AP71" s="40" t="str">
        <f>"= "&amp;FIXED(K8,2)&amp;" × "&amp;FIXED(K10,1)&amp;"/100 × "&amp;FIXED(AA38,2)&amp;"× "&amp;FIXED(AI36,2)&amp;"×1000 Nm3/VS-分解"</f>
        <v>= 0.60 × 80.0/100 × 0.33× 0.75×1000 Nm3/VS-分解</v>
      </c>
    </row>
    <row r="72" spans="2:46" ht="10.5" customHeight="1" x14ac:dyDescent="0.15">
      <c r="AP72" s="101" t="s">
        <v>174</v>
      </c>
      <c r="AQ72" s="116">
        <f>K8*K10/100*AA38*AI36*1000</f>
        <v>118.80000000000001</v>
      </c>
      <c r="AR72" s="116"/>
      <c r="AS72" s="116"/>
      <c r="AT72" s="40" t="s">
        <v>89</v>
      </c>
    </row>
    <row r="73" spans="2:46" ht="10.5" customHeight="1" x14ac:dyDescent="0.15">
      <c r="B73" s="39"/>
      <c r="C73" s="39"/>
      <c r="D73" s="39"/>
      <c r="E73" s="117"/>
      <c r="F73" s="67"/>
      <c r="G73" s="39"/>
      <c r="H73" s="39"/>
      <c r="AO73" s="40" t="s">
        <v>175</v>
      </c>
      <c r="AP73" s="40" t="s">
        <v>93</v>
      </c>
      <c r="AQ73" s="101"/>
    </row>
    <row r="74" spans="2:46" ht="10.5" customHeight="1" thickBot="1" x14ac:dyDescent="0.2">
      <c r="B74" s="39"/>
      <c r="C74" s="39"/>
      <c r="D74" s="39"/>
      <c r="E74" s="117"/>
      <c r="F74" s="67"/>
      <c r="G74" s="39"/>
      <c r="H74" s="39"/>
      <c r="AP74" s="40" t="str">
        <f>"= "&amp;FIXED(S50,2)&amp;" × "&amp;FIXED(S52,1)&amp;"/100 × "&amp;FIXED(Z37,2)&amp;"× "&amp;FIXED(AI35,2)&amp;"×1000 Nm3/VS-分解"</f>
        <v>= 2.19 × 62.9/100 × 0.33× 0.75×1000 Nm3/VS-分解</v>
      </c>
    </row>
    <row r="75" spans="2:46" ht="10.5" customHeight="1" thickTop="1" x14ac:dyDescent="0.15">
      <c r="B75" s="39"/>
      <c r="C75" s="39"/>
      <c r="D75" s="39"/>
      <c r="E75" s="117"/>
      <c r="F75" s="67"/>
      <c r="G75" s="39"/>
      <c r="H75" s="39"/>
      <c r="U75" s="68"/>
      <c r="V75" s="71" t="s">
        <v>248</v>
      </c>
      <c r="W75" s="71"/>
      <c r="X75" s="71"/>
      <c r="Y75" s="71"/>
      <c r="Z75" s="73"/>
      <c r="AP75" s="101" t="s">
        <v>174</v>
      </c>
      <c r="AQ75" s="116">
        <f>S50*S52/100*Z37*AI35*1000</f>
        <v>341.40075749999988</v>
      </c>
      <c r="AR75" s="116"/>
      <c r="AS75" s="116"/>
      <c r="AT75" s="40" t="s">
        <v>89</v>
      </c>
    </row>
    <row r="76" spans="2:46" ht="10.5" customHeight="1" thickBot="1" x14ac:dyDescent="0.2">
      <c r="U76" s="107"/>
      <c r="V76" s="91"/>
      <c r="W76" s="92"/>
      <c r="X76" s="92"/>
      <c r="Y76" s="108"/>
      <c r="Z76" s="93"/>
      <c r="AA76" s="43"/>
      <c r="AB76" s="43"/>
    </row>
    <row r="77" spans="2:46" ht="10.5" customHeight="1" thickTop="1" x14ac:dyDescent="0.15"/>
    <row r="93" spans="5:5" ht="10.5" customHeight="1" x14ac:dyDescent="0.15">
      <c r="E93" s="65"/>
    </row>
  </sheetData>
  <sheetProtection algorithmName="SHA-512" hashValue="tAQos03IgwsuGjqJv6YyGhftmbp4ca7INwbYfLNmnXUceSTnHt4zgAyXPCNRo4chTCnuAFiU6DQ1lw0w9mwB1Q==" saltValue="TxWZN7uKY5dX+VkNxs1WFA==" spinCount="100000" sheet="1" objects="1" scenarios="1" selectLockedCells="1" selectUnlockedCells="1"/>
  <phoneticPr fontId="2"/>
  <printOptions horizontalCentered="1"/>
  <pageMargins left="0.31496062992125984" right="0.31496062992125984" top="0.74803149606299213" bottom="0.35433070866141736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入力シート（実証技術）</vt:lpstr>
      <vt:lpstr>試算シート</vt:lpstr>
      <vt:lpstr>マテリアルバランス (消化無) (日平均) </vt:lpstr>
      <vt:lpstr>マテリアルバランス (従来技術) (日平均) </vt:lpstr>
      <vt:lpstr>熱バランス (従来技術) (日平均)  </vt:lpstr>
      <vt:lpstr>マテリアルバランス（実証技術） (日平均)</vt:lpstr>
      <vt:lpstr>熱バランス（実証技術） (日平均)</vt:lpstr>
      <vt:lpstr>プログラムシート(中温消化)</vt:lpstr>
      <vt:lpstr>プログラムシート</vt:lpstr>
      <vt:lpstr>プログラムシート!Print_Area</vt:lpstr>
      <vt:lpstr>'プログラムシート(中温消化)'!Print_Area</vt:lpstr>
      <vt:lpstr>'マテリアルバランス (従来技術) (日平均) '!Print_Area</vt:lpstr>
      <vt:lpstr>'マテリアルバランス (消化無) (日平均) '!Print_Area</vt:lpstr>
      <vt:lpstr>'マテリアルバランス（実証技術） (日平均)'!Print_Area</vt:lpstr>
      <vt:lpstr>試算シート!Print_Area</vt:lpstr>
      <vt:lpstr>'熱バランス (従来技術) (日平均)  '!Print_Area</vt:lpstr>
      <vt:lpstr>'熱バランス（実証技術） (日平均)'!Print_Area</vt:lpstr>
    </vt:vector>
  </TitlesOfParts>
  <Company>日本下水道事業団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池上　梓</dc:creator>
  <cp:lastModifiedBy>栗原 元</cp:lastModifiedBy>
  <cp:lastPrinted>2020-03-23T00:48:41Z</cp:lastPrinted>
  <dcterms:created xsi:type="dcterms:W3CDTF">2018-01-26T06:52:04Z</dcterms:created>
  <dcterms:modified xsi:type="dcterms:W3CDTF">2020-03-23T00:52:06Z</dcterms:modified>
</cp:coreProperties>
</file>