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nagamatsu\Documents\★業務\00業務\00技術本部\01部内資料\01改善改良\01プロジェクト\2015期\★28_糸満B-DASH\55自主研究\★普及展開実態調査\20200819\"/>
    </mc:Choice>
  </mc:AlternateContent>
  <bookViews>
    <workbookView xWindow="0" yWindow="0" windowWidth="20490" windowHeight="7530"/>
  </bookViews>
  <sheets>
    <sheet name="試算シート" sheetId="3" r:id="rId1"/>
  </sheets>
  <definedNames>
    <definedName name="_xlnm.Print_Area" localSheetId="0">試算シート!$A$1:$M$69</definedName>
  </definedNames>
  <calcPr calcId="162913"/>
</workbook>
</file>

<file path=xl/calcChain.xml><?xml version="1.0" encoding="utf-8"?>
<calcChain xmlns="http://schemas.openxmlformats.org/spreadsheetml/2006/main">
  <c r="H65" i="3" l="1"/>
  <c r="H63" i="3"/>
  <c r="H61" i="3"/>
  <c r="L44" i="3"/>
  <c r="L39" i="3"/>
  <c r="H37" i="3"/>
  <c r="H67" i="3" s="1"/>
  <c r="L38" i="3"/>
  <c r="L35" i="3"/>
  <c r="H34" i="3"/>
  <c r="H35" i="3" s="1"/>
  <c r="H33" i="3"/>
  <c r="H32" i="3"/>
  <c r="L31" i="3"/>
  <c r="L30" i="3"/>
  <c r="L27" i="3"/>
  <c r="H29" i="3"/>
  <c r="L28" i="3"/>
  <c r="H26" i="3"/>
  <c r="H23" i="3"/>
  <c r="H59" i="3" s="1"/>
  <c r="L24" i="3"/>
  <c r="L25" i="3"/>
  <c r="H20" i="3"/>
  <c r="H57" i="3" s="1"/>
  <c r="L22" i="3"/>
  <c r="H13" i="3"/>
  <c r="H12" i="3"/>
  <c r="H11" i="3"/>
  <c r="H17" i="3"/>
  <c r="H56" i="3" s="1"/>
  <c r="H69" i="3" s="1"/>
  <c r="H38" i="3" l="1"/>
  <c r="H30" i="3"/>
  <c r="H27" i="3"/>
  <c r="H24" i="3"/>
  <c r="H15" i="3"/>
  <c r="H41" i="3" s="1"/>
  <c r="H44" i="3" s="1"/>
  <c r="H14" i="3" l="1"/>
  <c r="F49" i="3" s="1"/>
  <c r="L19" i="3" l="1"/>
  <c r="L21" i="3"/>
  <c r="H21" i="3" s="1"/>
  <c r="L18" i="3"/>
  <c r="H18" i="3" s="1"/>
  <c r="H40" i="3" l="1"/>
  <c r="H42" i="3" s="1"/>
  <c r="H45" i="3" l="1"/>
  <c r="F50" i="3" s="1"/>
  <c r="F52" i="3" s="1"/>
  <c r="H43" i="3" l="1"/>
</calcChain>
</file>

<file path=xl/sharedStrings.xml><?xml version="1.0" encoding="utf-8"?>
<sst xmlns="http://schemas.openxmlformats.org/spreadsheetml/2006/main" count="209" uniqueCount="148">
  <si>
    <t>建設費</t>
    <rPh sb="0" eb="3">
      <t>ケンセツヒ</t>
    </rPh>
    <phoneticPr fontId="1"/>
  </si>
  <si>
    <t>合計</t>
    <rPh sb="0" eb="2">
      <t>ゴウケイ</t>
    </rPh>
    <phoneticPr fontId="1"/>
  </si>
  <si>
    <t>建設費年価</t>
    <rPh sb="0" eb="3">
      <t>ケンセツヒ</t>
    </rPh>
    <rPh sb="3" eb="4">
      <t>ネン</t>
    </rPh>
    <rPh sb="4" eb="5">
      <t>カ</t>
    </rPh>
    <phoneticPr fontId="1"/>
  </si>
  <si>
    <t>革新的技術</t>
    <rPh sb="0" eb="3">
      <t>カクシンテキ</t>
    </rPh>
    <rPh sb="3" eb="5">
      <t>ギジュツ</t>
    </rPh>
    <phoneticPr fontId="1"/>
  </si>
  <si>
    <t>電気設備</t>
    <rPh sb="0" eb="2">
      <t>デンキ</t>
    </rPh>
    <rPh sb="2" eb="4">
      <t>セツビ</t>
    </rPh>
    <phoneticPr fontId="1"/>
  </si>
  <si>
    <t>維持管理費合計</t>
    <rPh sb="0" eb="2">
      <t>イジ</t>
    </rPh>
    <rPh sb="2" eb="5">
      <t>カンリヒ</t>
    </rPh>
    <rPh sb="5" eb="7">
      <t>ゴウケイ</t>
    </rPh>
    <phoneticPr fontId="1"/>
  </si>
  <si>
    <t>建設費合計</t>
    <rPh sb="0" eb="3">
      <t>ケンセツヒ</t>
    </rPh>
    <rPh sb="3" eb="5">
      <t>ゴウケイ</t>
    </rPh>
    <phoneticPr fontId="1"/>
  </si>
  <si>
    <t>費用（百万円）</t>
    <rPh sb="0" eb="2">
      <t>ヒヨウ</t>
    </rPh>
    <rPh sb="3" eb="5">
      <t>ヒャクマン</t>
    </rPh>
    <rPh sb="5" eb="6">
      <t>エン</t>
    </rPh>
    <phoneticPr fontId="1"/>
  </si>
  <si>
    <t>備考</t>
    <rPh sb="0" eb="2">
      <t>ビコウ</t>
    </rPh>
    <phoneticPr fontId="1"/>
  </si>
  <si>
    <t>技術区分</t>
    <rPh sb="0" eb="2">
      <t>ギジュツ</t>
    </rPh>
    <rPh sb="2" eb="4">
      <t>クブン</t>
    </rPh>
    <phoneticPr fontId="1"/>
  </si>
  <si>
    <t>項目</t>
    <rPh sb="0" eb="2">
      <t>コウモク</t>
    </rPh>
    <phoneticPr fontId="1"/>
  </si>
  <si>
    <t>設備名称</t>
    <rPh sb="0" eb="2">
      <t>セツビ</t>
    </rPh>
    <rPh sb="2" eb="4">
      <t>メイショウ</t>
    </rPh>
    <phoneticPr fontId="1"/>
  </si>
  <si>
    <t>費用回収年</t>
    <rPh sb="0" eb="2">
      <t>ヒヨウ</t>
    </rPh>
    <rPh sb="2" eb="4">
      <t>カイシュウ</t>
    </rPh>
    <rPh sb="4" eb="5">
      <t>ネン</t>
    </rPh>
    <phoneticPr fontId="1"/>
  </si>
  <si>
    <t>百万円</t>
    <rPh sb="0" eb="1">
      <t>ヒャク</t>
    </rPh>
    <rPh sb="1" eb="3">
      <t>マンエン</t>
    </rPh>
    <phoneticPr fontId="1"/>
  </si>
  <si>
    <t>費用</t>
    <rPh sb="0" eb="2">
      <t>ヒヨウ</t>
    </rPh>
    <phoneticPr fontId="1"/>
  </si>
  <si>
    <t>単位</t>
    <rPh sb="0" eb="2">
      <t>タンイ</t>
    </rPh>
    <phoneticPr fontId="1"/>
  </si>
  <si>
    <t>年</t>
    <rPh sb="0" eb="1">
      <t>ネン</t>
    </rPh>
    <phoneticPr fontId="1"/>
  </si>
  <si>
    <t>GHG排出量</t>
    <rPh sb="3" eb="6">
      <t>ハイシュツリョウ</t>
    </rPh>
    <phoneticPr fontId="1"/>
  </si>
  <si>
    <t>消費電力由来GHG排出量</t>
    <rPh sb="0" eb="2">
      <t>ショウヒ</t>
    </rPh>
    <rPh sb="2" eb="4">
      <t>デンリョク</t>
    </rPh>
    <rPh sb="4" eb="6">
      <t>ユライ</t>
    </rPh>
    <rPh sb="9" eb="12">
      <t>ハイシュツリョウ</t>
    </rPh>
    <phoneticPr fontId="1"/>
  </si>
  <si>
    <t>百万円</t>
    <rPh sb="0" eb="2">
      <t>ヒャクマン</t>
    </rPh>
    <rPh sb="2" eb="3">
      <t>エン</t>
    </rPh>
    <phoneticPr fontId="1"/>
  </si>
  <si>
    <t>百万円/年</t>
    <rPh sb="0" eb="2">
      <t>ヒャクマン</t>
    </rPh>
    <rPh sb="2" eb="3">
      <t>エン</t>
    </rPh>
    <rPh sb="4" eb="5">
      <t>ネン</t>
    </rPh>
    <phoneticPr fontId="1"/>
  </si>
  <si>
    <t>費用関数</t>
    <rPh sb="0" eb="2">
      <t>ヒヨウ</t>
    </rPh>
    <rPh sb="2" eb="4">
      <t>カンスウ</t>
    </rPh>
    <phoneticPr fontId="1"/>
  </si>
  <si>
    <t>ー</t>
    <phoneticPr fontId="1"/>
  </si>
  <si>
    <t>費用関数</t>
    <phoneticPr fontId="1"/>
  </si>
  <si>
    <t>①</t>
    <phoneticPr fontId="1"/>
  </si>
  <si>
    <t>④</t>
    <phoneticPr fontId="1"/>
  </si>
  <si>
    <t>⑤</t>
    <phoneticPr fontId="1"/>
  </si>
  <si>
    <t>③</t>
    <phoneticPr fontId="1"/>
  </si>
  <si>
    <t>④：①＋②＋③</t>
    <phoneticPr fontId="1"/>
  </si>
  <si>
    <t>⑬</t>
    <phoneticPr fontId="1"/>
  </si>
  <si>
    <t>⑭</t>
    <phoneticPr fontId="1"/>
  </si>
  <si>
    <t>備考</t>
    <rPh sb="0" eb="2">
      <t>ビコウ</t>
    </rPh>
    <phoneticPr fontId="1"/>
  </si>
  <si>
    <t>ー</t>
    <phoneticPr fontId="1"/>
  </si>
  <si>
    <t>諸元値一覧</t>
    <rPh sb="0" eb="2">
      <t>ショゲン</t>
    </rPh>
    <rPh sb="2" eb="3">
      <t>チ</t>
    </rPh>
    <rPh sb="3" eb="5">
      <t>イチラン</t>
    </rPh>
    <phoneticPr fontId="1"/>
  </si>
  <si>
    <t>都市ガス</t>
    <rPh sb="0" eb="2">
      <t>トシ</t>
    </rPh>
    <phoneticPr fontId="1"/>
  </si>
  <si>
    <t>消化ガス</t>
    <rPh sb="0" eb="2">
      <t>ショウカ</t>
    </rPh>
    <phoneticPr fontId="1"/>
  </si>
  <si>
    <t>エネルギー換算係数</t>
    <rPh sb="5" eb="7">
      <t>カンサン</t>
    </rPh>
    <rPh sb="7" eb="9">
      <t>ケイスウ</t>
    </rPh>
    <phoneticPr fontId="1"/>
  </si>
  <si>
    <t>温室効果ガス換算係数</t>
    <rPh sb="0" eb="2">
      <t>オンシツ</t>
    </rPh>
    <rPh sb="2" eb="4">
      <t>コウカ</t>
    </rPh>
    <rPh sb="6" eb="8">
      <t>カンサン</t>
    </rPh>
    <rPh sb="8" eb="10">
      <t>ケイスウ</t>
    </rPh>
    <phoneticPr fontId="1"/>
  </si>
  <si>
    <t>②</t>
    <phoneticPr fontId="1"/>
  </si>
  <si>
    <t>⑦</t>
    <phoneticPr fontId="1"/>
  </si>
  <si>
    <t>⑥</t>
    <phoneticPr fontId="1"/>
  </si>
  <si>
    <t>⑧</t>
    <phoneticPr fontId="1"/>
  </si>
  <si>
    <t>機械設備</t>
    <rPh sb="0" eb="2">
      <t>キカイ</t>
    </rPh>
    <rPh sb="2" eb="4">
      <t>セツビ</t>
    </rPh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</si>
  <si>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</si>
  <si>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MJ/Nm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phoneticPr fontId="1"/>
  </si>
  <si>
    <r>
      <t>Y=工種別建設費×i(1-i)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/{(1+i)</t>
    </r>
    <r>
      <rPr>
        <vertAlign val="superscript"/>
        <sz val="11"/>
        <color theme="1"/>
        <rFont val="游ゴシック"/>
        <family val="3"/>
        <charset val="128"/>
        <scheme val="minor"/>
      </rPr>
      <t>n</t>
    </r>
    <r>
      <rPr>
        <sz val="11"/>
        <color theme="1"/>
        <rFont val="游ゴシック"/>
        <family val="2"/>
        <charset val="128"/>
        <scheme val="minor"/>
      </rPr>
      <t>-1}</t>
    </r>
    <rPh sb="2" eb="4">
      <t>コウシュ</t>
    </rPh>
    <rPh sb="4" eb="5">
      <t>ベツ</t>
    </rPh>
    <rPh sb="5" eb="8">
      <t>ケンセツヒ</t>
    </rPh>
    <phoneticPr fontId="1"/>
  </si>
  <si>
    <t>稼働日数(日/年)</t>
    <rPh sb="0" eb="2">
      <t>カドウ</t>
    </rPh>
    <rPh sb="2" eb="4">
      <t>ニッスウ</t>
    </rPh>
    <rPh sb="5" eb="6">
      <t>ヒ</t>
    </rPh>
    <rPh sb="7" eb="8">
      <t>ネン</t>
    </rPh>
    <phoneticPr fontId="1"/>
  </si>
  <si>
    <t>電力単価(円/kWh)</t>
    <rPh sb="0" eb="2">
      <t>デンリョク</t>
    </rPh>
    <rPh sb="2" eb="4">
      <t>タンカ</t>
    </rPh>
    <rPh sb="5" eb="6">
      <t>エン</t>
    </rPh>
    <phoneticPr fontId="1"/>
  </si>
  <si>
    <t>総費用(年価換算値)</t>
    <rPh sb="0" eb="3">
      <t>ソウヒヨウ</t>
    </rPh>
    <rPh sb="4" eb="5">
      <t>トシ</t>
    </rPh>
    <rPh sb="5" eb="6">
      <t>アタイ</t>
    </rPh>
    <rPh sb="6" eb="8">
      <t>カンサン</t>
    </rPh>
    <rPh sb="8" eb="9">
      <t>アタイ</t>
    </rPh>
    <phoneticPr fontId="1"/>
  </si>
  <si>
    <t>維持管理費(消費電力)</t>
    <rPh sb="0" eb="2">
      <t>イジ</t>
    </rPh>
    <rPh sb="2" eb="5">
      <t>カンリヒ</t>
    </rPh>
    <rPh sb="6" eb="8">
      <t>ショウヒ</t>
    </rPh>
    <rPh sb="8" eb="10">
      <t>デンリョク</t>
    </rPh>
    <phoneticPr fontId="1"/>
  </si>
  <si>
    <t>維持管理費(点検・補修費)</t>
    <rPh sb="0" eb="2">
      <t>イジ</t>
    </rPh>
    <rPh sb="2" eb="5">
      <t>カンリヒ</t>
    </rPh>
    <rPh sb="6" eb="8">
      <t>テンケン</t>
    </rPh>
    <rPh sb="9" eb="11">
      <t>ホシュウ</t>
    </rPh>
    <rPh sb="11" eb="12">
      <t>ヒ</t>
    </rPh>
    <phoneticPr fontId="1"/>
  </si>
  <si>
    <t>稼働日数(日/年)</t>
    <rPh sb="0" eb="2">
      <t>カドウ</t>
    </rPh>
    <rPh sb="2" eb="4">
      <t>ニッスウ</t>
    </rPh>
    <phoneticPr fontId="1"/>
  </si>
  <si>
    <t>利子率(％)</t>
    <rPh sb="0" eb="2">
      <t>リシ</t>
    </rPh>
    <rPh sb="2" eb="3">
      <t>リツ</t>
    </rPh>
    <phoneticPr fontId="1"/>
  </si>
  <si>
    <t>対象年数(年)</t>
    <rPh sb="0" eb="2">
      <t>タイショウ</t>
    </rPh>
    <rPh sb="2" eb="4">
      <t>ネンスウ</t>
    </rPh>
    <rPh sb="5" eb="6">
      <t>ネン</t>
    </rPh>
    <phoneticPr fontId="1"/>
  </si>
  <si>
    <t>単価(円/kWh)</t>
    <rPh sb="0" eb="2">
      <t>タンカ</t>
    </rPh>
    <rPh sb="3" eb="4">
      <t>エン</t>
    </rPh>
    <phoneticPr fontId="1"/>
  </si>
  <si>
    <r>
      <t>kg</t>
    </r>
    <r>
      <rPr>
        <sz val="11"/>
        <rFont val="游ゴシック"/>
        <family val="3"/>
        <charset val="128"/>
        <scheme val="minor"/>
      </rPr>
      <t>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</si>
  <si>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/m</t>
    </r>
    <r>
      <rPr>
        <vertAlign val="superscript"/>
        <sz val="11"/>
        <rFont val="游ゴシック"/>
        <family val="3"/>
        <charset val="128"/>
        <scheme val="minor"/>
      </rPr>
      <t>3</t>
    </r>
    <phoneticPr fontId="1"/>
  </si>
  <si>
    <r>
      <t>単価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)</t>
    </r>
    <phoneticPr fontId="1"/>
  </si>
  <si>
    <t>土木建築</t>
    <rPh sb="0" eb="2">
      <t>ドボク</t>
    </rPh>
    <rPh sb="2" eb="4">
      <t>ケンチク</t>
    </rPh>
    <phoneticPr fontId="1"/>
  </si>
  <si>
    <t>再生水設備</t>
    <rPh sb="0" eb="3">
      <t>サイセイスイ</t>
    </rPh>
    <rPh sb="3" eb="5">
      <t>セツビ</t>
    </rPh>
    <phoneticPr fontId="1"/>
  </si>
  <si>
    <r>
      <t>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0" eb="2">
      <t>ケイカク</t>
    </rPh>
    <rPh sb="2" eb="3">
      <t>ニチ</t>
    </rPh>
    <rPh sb="3" eb="5">
      <t>ヘイキン</t>
    </rPh>
    <rPh sb="5" eb="8">
      <t>サイセイスイ</t>
    </rPh>
    <rPh sb="8" eb="9">
      <t>リョウ</t>
    </rPh>
    <phoneticPr fontId="1"/>
  </si>
  <si>
    <r>
      <t>計画日最大再生水量(m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0" eb="2">
      <t>ケイカク</t>
    </rPh>
    <rPh sb="2" eb="3">
      <t>ニチ</t>
    </rPh>
    <rPh sb="3" eb="5">
      <t>サイダイ</t>
    </rPh>
    <rPh sb="5" eb="8">
      <t>サイセイスイ</t>
    </rPh>
    <rPh sb="8" eb="9">
      <t>リョウ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</si>
  <si>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=1.209Xmax</t>
    </r>
    <r>
      <rPr>
        <vertAlign val="superscript"/>
        <sz val="11"/>
        <color theme="1"/>
        <rFont val="游ゴシック"/>
        <family val="3"/>
        <charset val="128"/>
        <scheme val="minor"/>
      </rPr>
      <t>0.708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</si>
  <si>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=3.276Xmax</t>
    </r>
    <r>
      <rPr>
        <vertAlign val="superscript"/>
        <sz val="11"/>
        <color theme="1"/>
        <rFont val="游ゴシック"/>
        <family val="3"/>
        <charset val="128"/>
        <scheme val="minor"/>
      </rPr>
      <t>0.392</t>
    </r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</si>
  <si>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=5.236Xmax</t>
    </r>
    <r>
      <rPr>
        <vertAlign val="superscript"/>
        <sz val="11"/>
        <color theme="1"/>
        <rFont val="游ゴシック"/>
        <family val="3"/>
        <charset val="128"/>
        <scheme val="minor"/>
      </rPr>
      <t>0.426</t>
    </r>
    <phoneticPr fontId="1"/>
  </si>
  <si>
    <t>⑤、i：利子率、n：耐用年数
※工種別に年価を算出し、合計する。</t>
    <rPh sb="23" eb="25">
      <t>サンシュツ</t>
    </rPh>
    <phoneticPr fontId="1"/>
  </si>
  <si>
    <r>
      <t>①、Xmax：計画日最大再生水量(m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7" eb="9">
      <t>ケイカク</t>
    </rPh>
    <rPh sb="9" eb="10">
      <t>ニチ</t>
    </rPh>
    <rPh sb="10" eb="12">
      <t>サイダイ</t>
    </rPh>
    <rPh sb="12" eb="15">
      <t>サイセイスイ</t>
    </rPh>
    <rPh sb="15" eb="16">
      <t>リョウ</t>
    </rPh>
    <rPh sb="20" eb="21">
      <t>ヒ</t>
    </rPh>
    <phoneticPr fontId="1"/>
  </si>
  <si>
    <r>
      <t>②、Xmax：計画日最大再生水量(m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7" eb="9">
      <t>ケイカク</t>
    </rPh>
    <rPh sb="9" eb="10">
      <t>ニチ</t>
    </rPh>
    <rPh sb="10" eb="12">
      <t>サイダイ</t>
    </rPh>
    <rPh sb="12" eb="15">
      <t>サイセイスイ</t>
    </rPh>
    <rPh sb="15" eb="16">
      <t>リョウ</t>
    </rPh>
    <rPh sb="20" eb="21">
      <t>ヒ</t>
    </rPh>
    <phoneticPr fontId="1"/>
  </si>
  <si>
    <r>
      <t>③、Xmax：計画日最大再生水量(m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7" eb="9">
      <t>ケイカク</t>
    </rPh>
    <rPh sb="9" eb="10">
      <t>ニチ</t>
    </rPh>
    <rPh sb="10" eb="12">
      <t>サイダイ</t>
    </rPh>
    <rPh sb="12" eb="15">
      <t>サイセイスイ</t>
    </rPh>
    <rPh sb="15" eb="16">
      <t>リョウ</t>
    </rPh>
    <rPh sb="20" eb="21">
      <t>ヒ</t>
    </rPh>
    <phoneticPr fontId="1"/>
  </si>
  <si>
    <r>
      <t>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5" eb="7">
      <t>ケイカク</t>
    </rPh>
    <rPh sb="7" eb="8">
      <t>ニチ</t>
    </rPh>
    <rPh sb="8" eb="10">
      <t>ヘイキン</t>
    </rPh>
    <rPh sb="10" eb="13">
      <t>サイセイスイ</t>
    </rPh>
    <rPh sb="13" eb="14">
      <t>リョウ</t>
    </rPh>
    <phoneticPr fontId="1"/>
  </si>
  <si>
    <r>
      <t>Y</t>
    </r>
    <r>
      <rPr>
        <sz val="11"/>
        <color theme="1"/>
        <rFont val="游ゴシック"/>
        <family val="2"/>
        <charset val="128"/>
        <scheme val="minor"/>
      </rPr>
      <t>=0.180Xave</t>
    </r>
    <phoneticPr fontId="1"/>
  </si>
  <si>
    <t>消費電力量
(kWh/日)</t>
    <rPh sb="0" eb="2">
      <t>ショウヒ</t>
    </rPh>
    <rPh sb="2" eb="5">
      <t>デンリョクリョウ</t>
    </rPh>
    <rPh sb="11" eb="12">
      <t>ニチ</t>
    </rPh>
    <phoneticPr fontId="1"/>
  </si>
  <si>
    <r>
      <t>Y=消費電力量(kWh/日)×稼働日数(日/年)×単価(円/kWh)×10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ショウヒ</t>
    </rPh>
    <rPh sb="4" eb="7">
      <t>デンリョクリョウ</t>
    </rPh>
    <rPh sb="12" eb="13">
      <t>ニチ</t>
    </rPh>
    <rPh sb="15" eb="17">
      <t>カドウ</t>
    </rPh>
    <rPh sb="17" eb="19">
      <t>ニッスウ</t>
    </rPh>
    <rPh sb="20" eb="21">
      <t>ニチ</t>
    </rPh>
    <rPh sb="22" eb="23">
      <t>ネン</t>
    </rPh>
    <rPh sb="25" eb="27">
      <t>タンカ</t>
    </rPh>
    <rPh sb="28" eb="29">
      <t>エン</t>
    </rPh>
    <phoneticPr fontId="1"/>
  </si>
  <si>
    <t>総費用（年価換算値）</t>
    <rPh sb="0" eb="3">
      <t>ソウヒヨウ</t>
    </rPh>
    <rPh sb="4" eb="6">
      <t>ネンカ</t>
    </rPh>
    <rPh sb="6" eb="9">
      <t>カンサンチ</t>
    </rPh>
    <phoneticPr fontId="1"/>
  </si>
  <si>
    <t>維持管理費(次亜塩素酸ナトリウム)</t>
    <rPh sb="0" eb="2">
      <t>イジ</t>
    </rPh>
    <rPh sb="2" eb="5">
      <t>カンリヒ</t>
    </rPh>
    <rPh sb="6" eb="8">
      <t>ジア</t>
    </rPh>
    <rPh sb="8" eb="11">
      <t>エンソサン</t>
    </rPh>
    <phoneticPr fontId="1"/>
  </si>
  <si>
    <r>
      <t>次亜塩素酸ナトリウム単価(円/kg</t>
    </r>
    <r>
      <rPr>
        <sz val="11"/>
        <rFont val="游ゴシック"/>
        <family val="3"/>
        <charset val="128"/>
        <scheme val="minor"/>
      </rPr>
      <t>)</t>
    </r>
    <rPh sb="0" eb="2">
      <t>ジア</t>
    </rPh>
    <rPh sb="2" eb="5">
      <t>エンソサン</t>
    </rPh>
    <rPh sb="10" eb="12">
      <t>タンカ</t>
    </rPh>
    <rPh sb="13" eb="14">
      <t>エン</t>
    </rPh>
    <phoneticPr fontId="1"/>
  </si>
  <si>
    <r>
      <t>塩酸単価(円/kg</t>
    </r>
    <r>
      <rPr>
        <sz val="11"/>
        <rFont val="游ゴシック"/>
        <family val="3"/>
        <charset val="128"/>
        <scheme val="minor"/>
      </rPr>
      <t>)</t>
    </r>
    <rPh sb="0" eb="2">
      <t>エンサン</t>
    </rPh>
    <rPh sb="2" eb="4">
      <t>タンカ</t>
    </rPh>
    <rPh sb="5" eb="6">
      <t>エン</t>
    </rPh>
    <phoneticPr fontId="1"/>
  </si>
  <si>
    <r>
      <t>SBS(重亜硫酸ソーダ)単価(円/kg</t>
    </r>
    <r>
      <rPr>
        <sz val="11"/>
        <rFont val="游ゴシック"/>
        <family val="3"/>
        <charset val="128"/>
        <scheme val="minor"/>
      </rPr>
      <t>)</t>
    </r>
    <rPh sb="4" eb="5">
      <t>ジュウ</t>
    </rPh>
    <rPh sb="5" eb="8">
      <t>アリュウサン</t>
    </rPh>
    <rPh sb="12" eb="14">
      <t>タンカ</t>
    </rPh>
    <rPh sb="15" eb="16">
      <t>エン</t>
    </rPh>
    <phoneticPr fontId="1"/>
  </si>
  <si>
    <r>
      <t>苛性ソーダ単価(円/kg</t>
    </r>
    <r>
      <rPr>
        <sz val="11"/>
        <rFont val="游ゴシック"/>
        <family val="3"/>
        <charset val="128"/>
        <scheme val="minor"/>
      </rPr>
      <t>)</t>
    </r>
    <rPh sb="0" eb="2">
      <t>カセイ</t>
    </rPh>
    <rPh sb="5" eb="7">
      <t>タンカ</t>
    </rPh>
    <rPh sb="8" eb="9">
      <t>エン</t>
    </rPh>
    <phoneticPr fontId="1"/>
  </si>
  <si>
    <r>
      <t>Y=4.923Xave×10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</si>
  <si>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t>薬品使用量
(kg/日)</t>
    <rPh sb="0" eb="2">
      <t>ヤクヒン</t>
    </rPh>
    <rPh sb="2" eb="5">
      <t>シヨウリョウ</t>
    </rPh>
    <rPh sb="10" eb="11">
      <t>ニチ</t>
    </rPh>
    <phoneticPr fontId="1"/>
  </si>
  <si>
    <r>
      <t>Y=薬品使用量(kg/日)×単価(円/kg</t>
    </r>
    <r>
      <rPr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×稼働日数(日/年)×10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ヤクヒン</t>
    </rPh>
    <rPh sb="4" eb="7">
      <t>シヨウリョウ</t>
    </rPh>
    <rPh sb="11" eb="12">
      <t>ニチ</t>
    </rPh>
    <rPh sb="14" eb="16">
      <t>タンカ</t>
    </rPh>
    <rPh sb="17" eb="18">
      <t>エン</t>
    </rPh>
    <rPh sb="23" eb="25">
      <t>カドウ</t>
    </rPh>
    <rPh sb="25" eb="27">
      <t>ニッスウ</t>
    </rPh>
    <rPh sb="28" eb="29">
      <t>ニチ</t>
    </rPh>
    <rPh sb="30" eb="31">
      <t>ネン</t>
    </rPh>
    <phoneticPr fontId="1"/>
  </si>
  <si>
    <t>維持管理費(塩酸)</t>
    <rPh sb="0" eb="2">
      <t>イジ</t>
    </rPh>
    <rPh sb="2" eb="5">
      <t>カンリヒ</t>
    </rPh>
    <rPh sb="6" eb="8">
      <t>エンサン</t>
    </rPh>
    <phoneticPr fontId="1"/>
  </si>
  <si>
    <r>
      <t>Y=0.036Xave×10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</si>
  <si>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t>維持管理費(SBS：重亜硫酸ソーダ)</t>
    <rPh sb="0" eb="2">
      <t>イジ</t>
    </rPh>
    <rPh sb="2" eb="5">
      <t>カンリヒ</t>
    </rPh>
    <rPh sb="10" eb="11">
      <t>ジュウ</t>
    </rPh>
    <rPh sb="11" eb="14">
      <t>アリュウサン</t>
    </rPh>
    <phoneticPr fontId="1"/>
  </si>
  <si>
    <r>
      <t>Y=0.080Xave×10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</si>
  <si>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t>⑨</t>
    <phoneticPr fontId="1"/>
  </si>
  <si>
    <t>維持管理費(苛性ソーダ)</t>
    <rPh sb="0" eb="2">
      <t>イジ</t>
    </rPh>
    <rPh sb="2" eb="5">
      <t>カンリヒ</t>
    </rPh>
    <rPh sb="6" eb="8">
      <t>カセイ</t>
    </rPh>
    <phoneticPr fontId="1"/>
  </si>
  <si>
    <r>
      <t>Y=0.066Xave×10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</si>
  <si>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t>⑩</t>
    <phoneticPr fontId="1"/>
  </si>
  <si>
    <r>
      <t>⑪、Xave：計画日平均再生水量(m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7" eb="9">
      <t>ケイカク</t>
    </rPh>
    <rPh sb="9" eb="10">
      <t>ニチ</t>
    </rPh>
    <rPh sb="10" eb="12">
      <t>ヘイキン</t>
    </rPh>
    <rPh sb="12" eb="15">
      <t>サイセイスイ</t>
    </rPh>
    <rPh sb="15" eb="16">
      <t>リョウ</t>
    </rPh>
    <phoneticPr fontId="1"/>
  </si>
  <si>
    <r>
      <t>Y=(2.06Xave＋0.32Xave)*10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</si>
  <si>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t>維持管理費(消耗品交換費：膜モジュール、UVランプ)</t>
    <rPh sb="0" eb="2">
      <t>イジ</t>
    </rPh>
    <rPh sb="2" eb="5">
      <t>カンリヒ</t>
    </rPh>
    <rPh sb="6" eb="8">
      <t>ショウモウ</t>
    </rPh>
    <rPh sb="8" eb="9">
      <t>ヒン</t>
    </rPh>
    <rPh sb="9" eb="11">
      <t>コウカン</t>
    </rPh>
    <rPh sb="11" eb="12">
      <t>ヒ</t>
    </rPh>
    <rPh sb="13" eb="14">
      <t>マク</t>
    </rPh>
    <phoneticPr fontId="1"/>
  </si>
  <si>
    <r>
      <t>Y=144.77Xave</t>
    </r>
    <r>
      <rPr>
        <vertAlign val="superscript"/>
        <sz val="11"/>
        <color theme="1"/>
        <rFont val="游ゴシック"/>
        <family val="3"/>
        <charset val="128"/>
        <scheme val="minor"/>
      </rPr>
      <t>0.384</t>
    </r>
    <r>
      <rPr>
        <sz val="11"/>
        <color theme="1"/>
        <rFont val="游ゴシック"/>
        <family val="2"/>
        <charset val="128"/>
        <scheme val="minor"/>
      </rPr>
      <t>×</t>
    </r>
    <r>
      <rPr>
        <sz val="11"/>
        <color theme="1"/>
        <rFont val="游ゴシック"/>
        <family val="3"/>
        <charset val="128"/>
        <scheme val="minor"/>
      </rPr>
      <t>10</t>
    </r>
    <r>
      <rPr>
        <vertAlign val="superscript"/>
        <sz val="11"/>
        <color theme="1"/>
        <rFont val="游ゴシック"/>
        <family val="3"/>
        <charset val="128"/>
        <scheme val="minor"/>
      </rPr>
      <t>-3</t>
    </r>
    <phoneticPr fontId="1"/>
  </si>
  <si>
    <r>
      <t>⑫、Xave：計画日平均再生水量(m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phoneticPr fontId="1"/>
  </si>
  <si>
    <t>革新的技術建設費年価</t>
    <rPh sb="0" eb="3">
      <t>カクシンテキ</t>
    </rPh>
    <rPh sb="3" eb="5">
      <t>ギジュツ</t>
    </rPh>
    <rPh sb="5" eb="8">
      <t>ケンセツヒ</t>
    </rPh>
    <rPh sb="8" eb="10">
      <t>ネンカ</t>
    </rPh>
    <phoneticPr fontId="1"/>
  </si>
  <si>
    <t>革新的技術維持管理費</t>
    <rPh sb="0" eb="3">
      <t>カクシンテキ</t>
    </rPh>
    <rPh sb="3" eb="5">
      <t>ギジュツ</t>
    </rPh>
    <rPh sb="5" eb="7">
      <t>イジ</t>
    </rPh>
    <rPh sb="7" eb="10">
      <t>カンリヒ</t>
    </rPh>
    <phoneticPr fontId="1"/>
  </si>
  <si>
    <t>既設汚泥濃度(%)</t>
    <rPh sb="0" eb="2">
      <t>キセツ</t>
    </rPh>
    <rPh sb="2" eb="4">
      <t>オデイ</t>
    </rPh>
    <rPh sb="4" eb="6">
      <t>ノウド</t>
    </rPh>
    <phoneticPr fontId="1"/>
  </si>
  <si>
    <t>維持管理費(膜処理による汚泥処理費増加分：汚泥濃縮、汚泥脱水)</t>
    <rPh sb="0" eb="2">
      <t>イジ</t>
    </rPh>
    <rPh sb="2" eb="5">
      <t>カンリヒ</t>
    </rPh>
    <rPh sb="6" eb="7">
      <t>マク</t>
    </rPh>
    <rPh sb="7" eb="9">
      <t>ショリ</t>
    </rPh>
    <rPh sb="12" eb="14">
      <t>オデイ</t>
    </rPh>
    <rPh sb="14" eb="16">
      <t>ショリ</t>
    </rPh>
    <rPh sb="16" eb="17">
      <t>ヒ</t>
    </rPh>
    <rPh sb="17" eb="19">
      <t>ゾウカ</t>
    </rPh>
    <rPh sb="19" eb="20">
      <t>ブン</t>
    </rPh>
    <rPh sb="21" eb="23">
      <t>オデイ</t>
    </rPh>
    <rPh sb="23" eb="25">
      <t>ノウシュク</t>
    </rPh>
    <rPh sb="26" eb="28">
      <t>オデイ</t>
    </rPh>
    <rPh sb="28" eb="30">
      <t>ダッスイ</t>
    </rPh>
    <phoneticPr fontId="1"/>
  </si>
  <si>
    <r>
      <t>発生汚泥量</t>
    </r>
    <r>
      <rPr>
        <sz val="11"/>
        <color theme="1"/>
        <rFont val="游ゴシック"/>
        <family val="2"/>
        <charset val="128"/>
        <scheme val="minor"/>
      </rPr>
      <t xml:space="preserve">
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0" eb="2">
      <t>ハッセイ</t>
    </rPh>
    <rPh sb="2" eb="4">
      <t>オデイ</t>
    </rPh>
    <rPh sb="4" eb="5">
      <t>リョウ</t>
    </rPh>
    <rPh sb="5" eb="6">
      <t>ブツリョウ</t>
    </rPh>
    <rPh sb="10" eb="11">
      <t>ニチ</t>
    </rPh>
    <phoneticPr fontId="1"/>
  </si>
  <si>
    <r>
      <t>Y=((0.030×発生汚泥量：S(m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/日))</t>
    </r>
    <r>
      <rPr>
        <vertAlign val="superscript"/>
        <sz val="11"/>
        <color theme="1"/>
        <rFont val="游ゴシック"/>
        <family val="3"/>
        <charset val="128"/>
        <scheme val="minor"/>
      </rPr>
      <t>0.628</t>
    </r>
    <r>
      <rPr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＋(0.039×発生汚泥量：S(m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/日)×稼働日数(日/年)</t>
    </r>
    <r>
      <rPr>
        <vertAlign val="superscript"/>
        <sz val="11"/>
        <color theme="1"/>
        <rFont val="游ゴシック"/>
        <family val="3"/>
        <charset val="128"/>
        <scheme val="minor"/>
      </rPr>
      <t>0.596</t>
    </r>
    <r>
      <rPr>
        <sz val="11"/>
        <color theme="1"/>
        <rFont val="游ゴシック"/>
        <family val="2"/>
        <charset val="128"/>
        <scheme val="minor"/>
      </rPr>
      <t>)×(107.2/100)</t>
    </r>
    <rPh sb="10" eb="12">
      <t>ハッセイ</t>
    </rPh>
    <rPh sb="12" eb="14">
      <t>オデイ</t>
    </rPh>
    <rPh sb="14" eb="15">
      <t>リョウ</t>
    </rPh>
    <rPh sb="21" eb="22">
      <t>ニチ</t>
    </rPh>
    <rPh sb="38" eb="40">
      <t>ハッセイ</t>
    </rPh>
    <rPh sb="40" eb="42">
      <t>オデイ</t>
    </rPh>
    <rPh sb="42" eb="43">
      <t>リョウ</t>
    </rPh>
    <rPh sb="49" eb="50">
      <t>ニチ</t>
    </rPh>
    <phoneticPr fontId="1"/>
  </si>
  <si>
    <t>維持管理費(膜処理による汚泥処分費増加分)</t>
    <rPh sb="0" eb="2">
      <t>イジ</t>
    </rPh>
    <rPh sb="2" eb="5">
      <t>カンリヒ</t>
    </rPh>
    <rPh sb="6" eb="7">
      <t>マク</t>
    </rPh>
    <rPh sb="7" eb="9">
      <t>ショリ</t>
    </rPh>
    <rPh sb="12" eb="14">
      <t>オデイ</t>
    </rPh>
    <rPh sb="14" eb="16">
      <t>ショブン</t>
    </rPh>
    <rPh sb="16" eb="17">
      <t>ヒ</t>
    </rPh>
    <rPh sb="17" eb="19">
      <t>ゾウカ</t>
    </rPh>
    <rPh sb="19" eb="20">
      <t>ブン</t>
    </rPh>
    <phoneticPr fontId="1"/>
  </si>
  <si>
    <r>
      <t>S=(3.0/0.922×10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>
      <rPr>
        <sz val="11"/>
        <color theme="1"/>
        <rFont val="游ゴシック"/>
        <family val="3"/>
        <charset val="128"/>
        <scheme val="minor"/>
      </rPr>
      <t>)×Xave÷Ds</t>
    </r>
    <phoneticPr fontId="1"/>
  </si>
  <si>
    <t>既設ケーキ含水率(%)</t>
    <rPh sb="0" eb="2">
      <t>キセツ</t>
    </rPh>
    <rPh sb="5" eb="8">
      <t>ガンスイリツ</t>
    </rPh>
    <phoneticPr fontId="1"/>
  </si>
  <si>
    <r>
      <t>C=(3.0/0.922×10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>
      <rPr>
        <sz val="11"/>
        <color theme="1"/>
        <rFont val="游ゴシック"/>
        <family val="3"/>
        <charset val="128"/>
        <scheme val="minor"/>
      </rPr>
      <t>)×Xave×100÷(100-Dc)</t>
    </r>
    <phoneticPr fontId="1"/>
  </si>
  <si>
    <r>
      <t>発生ケーキ量</t>
    </r>
    <r>
      <rPr>
        <sz val="11"/>
        <color theme="1"/>
        <rFont val="游ゴシック"/>
        <family val="2"/>
        <charset val="128"/>
        <scheme val="minor"/>
      </rPr>
      <t xml:space="preserve">
(t</t>
    </r>
    <r>
      <rPr>
        <sz val="11"/>
        <color theme="1"/>
        <rFont val="游ゴシック"/>
        <family val="2"/>
        <charset val="128"/>
        <scheme val="minor"/>
      </rPr>
      <t>/日)</t>
    </r>
    <rPh sb="0" eb="2">
      <t>ハッセイ</t>
    </rPh>
    <rPh sb="5" eb="6">
      <t>リョウ</t>
    </rPh>
    <rPh sb="6" eb="7">
      <t>ブツリョウ</t>
    </rPh>
    <rPh sb="10" eb="11">
      <t>ニチ</t>
    </rPh>
    <phoneticPr fontId="1"/>
  </si>
  <si>
    <r>
      <t>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
Ds：既設汚泥濃度(%)</t>
    </r>
    <rPh sb="5" eb="7">
      <t>ケイカク</t>
    </rPh>
    <rPh sb="7" eb="8">
      <t>ニチ</t>
    </rPh>
    <rPh sb="8" eb="10">
      <t>ヘイキン</t>
    </rPh>
    <rPh sb="10" eb="13">
      <t>サイセイスイ</t>
    </rPh>
    <rPh sb="13" eb="14">
      <t>リョウ</t>
    </rPh>
    <rPh sb="24" eb="26">
      <t>キセツ</t>
    </rPh>
    <rPh sb="26" eb="28">
      <t>オデイ</t>
    </rPh>
    <rPh sb="28" eb="30">
      <t>ノウド</t>
    </rPh>
    <phoneticPr fontId="1"/>
  </si>
  <si>
    <r>
      <t>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
Dc：既設ケーキ含水率(%)</t>
    </r>
    <rPh sb="5" eb="7">
      <t>ケイカク</t>
    </rPh>
    <rPh sb="7" eb="8">
      <t>ニチ</t>
    </rPh>
    <rPh sb="8" eb="10">
      <t>ヘイキン</t>
    </rPh>
    <rPh sb="10" eb="13">
      <t>サイセイスイ</t>
    </rPh>
    <rPh sb="13" eb="14">
      <t>リョウ</t>
    </rPh>
    <rPh sb="24" eb="26">
      <t>キセツ</t>
    </rPh>
    <rPh sb="29" eb="31">
      <t>ガンスイ</t>
    </rPh>
    <rPh sb="31" eb="32">
      <t>リツ</t>
    </rPh>
    <phoneticPr fontId="1"/>
  </si>
  <si>
    <t>汚泥処分単価(円/t)</t>
    <rPh sb="0" eb="2">
      <t>オデイ</t>
    </rPh>
    <rPh sb="2" eb="4">
      <t>ショブン</t>
    </rPh>
    <rPh sb="4" eb="6">
      <t>タンカ</t>
    </rPh>
    <rPh sb="7" eb="8">
      <t>エン</t>
    </rPh>
    <phoneticPr fontId="1"/>
  </si>
  <si>
    <r>
      <t>Y=発生ケーキ量：C(t/日)×処分単価(円/t)×稼働日数(日/年)×10</t>
    </r>
    <r>
      <rPr>
        <vertAlign val="superscript"/>
        <sz val="11"/>
        <color theme="1"/>
        <rFont val="游ゴシック"/>
        <family val="3"/>
        <charset val="128"/>
        <scheme val="minor"/>
      </rPr>
      <t>-6</t>
    </r>
    <rPh sb="2" eb="4">
      <t>ハッセイ</t>
    </rPh>
    <rPh sb="7" eb="8">
      <t>リョウ</t>
    </rPh>
    <rPh sb="13" eb="14">
      <t>ニチ</t>
    </rPh>
    <rPh sb="16" eb="18">
      <t>ショブン</t>
    </rPh>
    <rPh sb="18" eb="20">
      <t>タンカ</t>
    </rPh>
    <rPh sb="21" eb="22">
      <t>エン</t>
    </rPh>
    <phoneticPr fontId="1"/>
  </si>
  <si>
    <r>
      <t>単価</t>
    </r>
    <r>
      <rPr>
        <sz val="11"/>
        <color theme="1"/>
        <rFont val="游ゴシック"/>
        <family val="3"/>
        <charset val="128"/>
        <scheme val="minor"/>
      </rPr>
      <t>(</t>
    </r>
    <r>
      <rPr>
        <sz val="11"/>
        <color theme="1"/>
        <rFont val="游ゴシック"/>
        <family val="2"/>
        <charset val="128"/>
        <scheme val="minor"/>
      </rPr>
      <t>円/t</t>
    </r>
    <r>
      <rPr>
        <sz val="11"/>
        <color theme="1"/>
        <rFont val="游ゴシック"/>
        <family val="3"/>
        <charset val="128"/>
        <scheme val="minor"/>
      </rPr>
      <t>)</t>
    </r>
    <phoneticPr fontId="1"/>
  </si>
  <si>
    <t>⑮：⑥＋⑦＋⑧＋⑨＋⑩＋⑪＋⑫＋⑬＋⑭</t>
    <phoneticPr fontId="1"/>
  </si>
  <si>
    <t>⑯：⑤</t>
    <phoneticPr fontId="1"/>
  </si>
  <si>
    <t>⑰：⑮</t>
    <phoneticPr fontId="1"/>
  </si>
  <si>
    <r>
      <t>円/m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Ph sb="0" eb="1">
      <t>エン</t>
    </rPh>
    <phoneticPr fontId="1"/>
  </si>
  <si>
    <t>⑱：⑯＋⑰</t>
    <phoneticPr fontId="1"/>
  </si>
  <si>
    <t>再生水造水コスト</t>
    <rPh sb="0" eb="3">
      <t>サイセイスイ</t>
    </rPh>
    <rPh sb="3" eb="5">
      <t>ゾウスイ</t>
    </rPh>
    <phoneticPr fontId="1"/>
  </si>
  <si>
    <r>
      <t>再生水1m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の販売価格</t>
    </r>
    <rPh sb="0" eb="3">
      <t>サイセイスイ</t>
    </rPh>
    <rPh sb="7" eb="9">
      <t>ハンバイ</t>
    </rPh>
    <rPh sb="9" eb="11">
      <t>カカク</t>
    </rPh>
    <phoneticPr fontId="1"/>
  </si>
  <si>
    <t>再生水販売価格</t>
    <rPh sb="0" eb="3">
      <t>サイセイスイ</t>
    </rPh>
    <rPh sb="3" eb="5">
      <t>ハンバイ</t>
    </rPh>
    <rPh sb="5" eb="7">
      <t>カカク</t>
    </rPh>
    <phoneticPr fontId="1"/>
  </si>
  <si>
    <t>Y=維持管理費(百万円/年)÷(Xave×稼働日数(日/年))</t>
    <rPh sb="2" eb="4">
      <t>イジ</t>
    </rPh>
    <rPh sb="4" eb="7">
      <t>カンリヒ</t>
    </rPh>
    <rPh sb="8" eb="11">
      <t>ヒャクマンエン</t>
    </rPh>
    <rPh sb="12" eb="13">
      <t>ネン</t>
    </rPh>
    <rPh sb="21" eb="23">
      <t>カドウ</t>
    </rPh>
    <rPh sb="23" eb="25">
      <t>ニッスウ</t>
    </rPh>
    <rPh sb="26" eb="27">
      <t>ニチ</t>
    </rPh>
    <rPh sb="28" eb="29">
      <t>ネン</t>
    </rPh>
    <phoneticPr fontId="1"/>
  </si>
  <si>
    <t>a：④</t>
    <phoneticPr fontId="1"/>
  </si>
  <si>
    <t>c：任意設定</t>
    <rPh sb="2" eb="4">
      <t>ニンイ</t>
    </rPh>
    <rPh sb="4" eb="6">
      <t>セッテイ</t>
    </rPh>
    <phoneticPr fontId="1"/>
  </si>
  <si>
    <t>費用回収年（建設費を再生水販売費で回収する場合の試算）</t>
    <rPh sb="0" eb="2">
      <t>ヒヨウ</t>
    </rPh>
    <rPh sb="2" eb="4">
      <t>カイシュウ</t>
    </rPh>
    <rPh sb="4" eb="5">
      <t>ネン</t>
    </rPh>
    <rPh sb="6" eb="9">
      <t>ケンセツヒ</t>
    </rPh>
    <rPh sb="10" eb="13">
      <t>サイセイスイ</t>
    </rPh>
    <rPh sb="13" eb="16">
      <t>ハンバイヒ</t>
    </rPh>
    <rPh sb="17" eb="19">
      <t>カイシュウ</t>
    </rPh>
    <rPh sb="21" eb="23">
      <t>バアイ</t>
    </rPh>
    <rPh sb="24" eb="26">
      <t>シサン</t>
    </rPh>
    <phoneticPr fontId="1"/>
  </si>
  <si>
    <t xml:space="preserve"> a/(Xave×稼働日数(日/年)×(c-b))</t>
    <rPh sb="9" eb="11">
      <t>カドウ</t>
    </rPh>
    <rPh sb="11" eb="13">
      <t>ニッスウ</t>
    </rPh>
    <rPh sb="14" eb="15">
      <t>ニチ</t>
    </rPh>
    <rPh sb="16" eb="17">
      <t>ネン</t>
    </rPh>
    <phoneticPr fontId="1"/>
  </si>
  <si>
    <t>建設費分</t>
    <rPh sb="0" eb="3">
      <t>ケンセツヒ</t>
    </rPh>
    <rPh sb="3" eb="4">
      <t>ブン</t>
    </rPh>
    <phoneticPr fontId="1"/>
  </si>
  <si>
    <t>維持管理費分</t>
    <rPh sb="0" eb="2">
      <t>イジ</t>
    </rPh>
    <rPh sb="2" eb="5">
      <t>カンリヒ</t>
    </rPh>
    <rPh sb="5" eb="6">
      <t>ブン</t>
    </rPh>
    <phoneticPr fontId="1"/>
  </si>
  <si>
    <r>
      <t>⑳、Xave：計画日平均再生水量(m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/日)</t>
    </r>
    <rPh sb="7" eb="9">
      <t>ケイカク</t>
    </rPh>
    <rPh sb="9" eb="10">
      <t>ニチ</t>
    </rPh>
    <rPh sb="10" eb="12">
      <t>ヘイキン</t>
    </rPh>
    <rPh sb="12" eb="15">
      <t>サイセイスイ</t>
    </rPh>
    <rPh sb="15" eb="16">
      <t>リョウ</t>
    </rPh>
    <phoneticPr fontId="1"/>
  </si>
  <si>
    <t>Y=建設年価(百万円/年)÷(Xave×稼働日数(日/年))</t>
    <rPh sb="2" eb="4">
      <t>ケンセツ</t>
    </rPh>
    <rPh sb="4" eb="5">
      <t>ネン</t>
    </rPh>
    <rPh sb="5" eb="6">
      <t>カ</t>
    </rPh>
    <rPh sb="7" eb="10">
      <t>ヒャクマンエン</t>
    </rPh>
    <rPh sb="11" eb="12">
      <t>ネン</t>
    </rPh>
    <rPh sb="20" eb="22">
      <t>カドウ</t>
    </rPh>
    <rPh sb="22" eb="24">
      <t>ニッスウ</t>
    </rPh>
    <rPh sb="25" eb="26">
      <t>ニチ</t>
    </rPh>
    <rPh sb="27" eb="28">
      <t>ネン</t>
    </rPh>
    <phoneticPr fontId="1"/>
  </si>
  <si>
    <t>⑲、Xave：計画日平均再生水量(m3/日)</t>
    <phoneticPr fontId="1"/>
  </si>
  <si>
    <t>b：⑳</t>
    <phoneticPr fontId="1"/>
  </si>
  <si>
    <t>維持管理費分</t>
    <rPh sb="0" eb="2">
      <t>イジ</t>
    </rPh>
    <rPh sb="2" eb="5">
      <t>カンリヒ</t>
    </rPh>
    <rPh sb="5" eb="6">
      <t>ブン</t>
    </rPh>
    <phoneticPr fontId="1"/>
  </si>
  <si>
    <t>次亜塩素酸ナトリウム由来GHG排出量</t>
    <rPh sb="0" eb="2">
      <t>ジア</t>
    </rPh>
    <rPh sb="2" eb="5">
      <t>エンソサン</t>
    </rPh>
    <rPh sb="10" eb="12">
      <t>ユライ</t>
    </rPh>
    <rPh sb="15" eb="17">
      <t>ハイシュツ</t>
    </rPh>
    <rPh sb="17" eb="18">
      <t>リョウ</t>
    </rPh>
    <phoneticPr fontId="1"/>
  </si>
  <si>
    <r>
      <rPr>
        <sz val="11"/>
        <color theme="1"/>
        <rFont val="游ゴシック"/>
        <family val="3"/>
        <charset val="128"/>
        <scheme val="minor"/>
      </rPr>
      <t>kg</t>
    </r>
    <r>
      <rPr>
        <sz val="11"/>
        <color theme="1"/>
        <rFont val="游ゴシック"/>
        <family val="2"/>
        <charset val="128"/>
        <scheme val="minor"/>
      </rPr>
      <t>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/年</t>
    </r>
    <rPh sb="7" eb="8">
      <t>ネン</t>
    </rPh>
    <phoneticPr fontId="1"/>
  </si>
  <si>
    <r>
      <t>Y=消費電力量(kWh/年)×0.587(kg-CO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/kWh)</t>
    </r>
    <rPh sb="2" eb="4">
      <t>ショウヒ</t>
    </rPh>
    <rPh sb="4" eb="6">
      <t>デンリョク</t>
    </rPh>
    <rPh sb="6" eb="7">
      <t>リョウ</t>
    </rPh>
    <rPh sb="12" eb="13">
      <t>ネン</t>
    </rPh>
    <phoneticPr fontId="1"/>
  </si>
  <si>
    <r>
      <t>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/年</t>
    </r>
    <rPh sb="7" eb="8">
      <t>ネン</t>
    </rPh>
    <phoneticPr fontId="1"/>
  </si>
  <si>
    <r>
      <t>塩酸</t>
    </r>
    <r>
      <rPr>
        <sz val="11"/>
        <rFont val="游ゴシック"/>
        <family val="3"/>
        <charset val="128"/>
        <scheme val="minor"/>
      </rPr>
      <t>由来GHG排出量</t>
    </r>
    <rPh sb="0" eb="2">
      <t>エンサン</t>
    </rPh>
    <rPh sb="2" eb="4">
      <t>ユライ</t>
    </rPh>
    <rPh sb="7" eb="10">
      <t>ハイシュツリョウ</t>
    </rPh>
    <phoneticPr fontId="1"/>
  </si>
  <si>
    <r>
      <t>Y=次亜塩素酸ナトリウム使用量(kg/年)×0.320(kg-CO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/t-次亜塩素酸ナトリウム)</t>
    </r>
    <rPh sb="2" eb="7">
      <t>ジアエンソサン</t>
    </rPh>
    <rPh sb="12" eb="15">
      <t>シヨウリョウ</t>
    </rPh>
    <rPh sb="19" eb="20">
      <t>ネン</t>
    </rPh>
    <rPh sb="37" eb="42">
      <t>ジアエンソサン</t>
    </rPh>
    <phoneticPr fontId="1"/>
  </si>
  <si>
    <r>
      <t>Y=塩酸使用量(kg/年)×0.620(kg-CO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/t-塩酸)</t>
    </r>
    <rPh sb="2" eb="4">
      <t>エンサン</t>
    </rPh>
    <rPh sb="4" eb="7">
      <t>シヨウリョウ</t>
    </rPh>
    <rPh sb="11" eb="12">
      <t>ネン</t>
    </rPh>
    <rPh sb="29" eb="31">
      <t>エンサン</t>
    </rPh>
    <phoneticPr fontId="1"/>
  </si>
  <si>
    <t>SBS(重亜硫酸ソーダ)由来GHG排出量</t>
    <rPh sb="4" eb="5">
      <t>ジュウ</t>
    </rPh>
    <rPh sb="5" eb="8">
      <t>アリュウサン</t>
    </rPh>
    <rPh sb="12" eb="14">
      <t>ユライ</t>
    </rPh>
    <rPh sb="17" eb="19">
      <t>ハイシュツ</t>
    </rPh>
    <rPh sb="19" eb="20">
      <t>リョウ</t>
    </rPh>
    <phoneticPr fontId="1"/>
  </si>
  <si>
    <r>
      <t>Y=SBS使用量(kg/年)×1.940(kg-CO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/t-SBS)</t>
    </r>
    <rPh sb="5" eb="8">
      <t>シヨウリョウ</t>
    </rPh>
    <rPh sb="12" eb="13">
      <t>ネン</t>
    </rPh>
    <phoneticPr fontId="1"/>
  </si>
  <si>
    <t>苛性ソーダ由来GHG排出量</t>
    <rPh sb="0" eb="2">
      <t>カセイ</t>
    </rPh>
    <rPh sb="5" eb="7">
      <t>ユライ</t>
    </rPh>
    <rPh sb="10" eb="12">
      <t>ハイシュツ</t>
    </rPh>
    <rPh sb="12" eb="13">
      <t>リョウ</t>
    </rPh>
    <phoneticPr fontId="1"/>
  </si>
  <si>
    <r>
      <t>Y=苛性ソーダ(kg/年)×0.983(kg-CO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/t-苛性ソーダ)</t>
    </r>
    <rPh sb="2" eb="4">
      <t>カセイ</t>
    </rPh>
    <rPh sb="11" eb="12">
      <t>ネン</t>
    </rPh>
    <rPh sb="29" eb="31">
      <t>カセイ</t>
    </rPh>
    <phoneticPr fontId="1"/>
  </si>
  <si>
    <t>汚泥処理(濃縮・脱水)由来GHG排出量</t>
    <rPh sb="0" eb="2">
      <t>オデイ</t>
    </rPh>
    <rPh sb="2" eb="4">
      <t>ショリ</t>
    </rPh>
    <rPh sb="5" eb="7">
      <t>ノウシュク</t>
    </rPh>
    <rPh sb="8" eb="10">
      <t>ダッスイ</t>
    </rPh>
    <rPh sb="11" eb="13">
      <t>ユライ</t>
    </rPh>
    <rPh sb="16" eb="18">
      <t>ハイシュツ</t>
    </rPh>
    <rPh sb="18" eb="19">
      <t>リョウ</t>
    </rPh>
    <phoneticPr fontId="1"/>
  </si>
  <si>
    <r>
      <t>Y=発生汚泥固形物量(kg/年)×0.474(kg-CO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/kg-ds)</t>
    </r>
    <rPh sb="2" eb="4">
      <t>ハッセイ</t>
    </rPh>
    <rPh sb="4" eb="6">
      <t>オデイ</t>
    </rPh>
    <rPh sb="6" eb="9">
      <t>コケイブツ</t>
    </rPh>
    <rPh sb="9" eb="10">
      <t>リョウ</t>
    </rPh>
    <rPh sb="14" eb="15">
      <t>ネン</t>
    </rPh>
    <phoneticPr fontId="1"/>
  </si>
  <si>
    <t>汚泥処理(ケーキ処分)由来GHG排出量</t>
    <rPh sb="0" eb="2">
      <t>オデイ</t>
    </rPh>
    <rPh sb="2" eb="4">
      <t>ショリ</t>
    </rPh>
    <rPh sb="8" eb="10">
      <t>ショブン</t>
    </rPh>
    <rPh sb="11" eb="13">
      <t>ユライ</t>
    </rPh>
    <rPh sb="16" eb="18">
      <t>ハイシュツ</t>
    </rPh>
    <rPh sb="18" eb="19">
      <t>リョウ</t>
    </rPh>
    <phoneticPr fontId="1"/>
  </si>
  <si>
    <r>
      <t>Y=発生ケーキ量(t/年)×28.5(kg-CO</t>
    </r>
    <r>
      <rPr>
        <vertAlign val="sub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/t-ケーキ)</t>
    </r>
    <rPh sb="2" eb="4">
      <t>ハッセイ</t>
    </rPh>
    <rPh sb="7" eb="8">
      <t>リョウ</t>
    </rPh>
    <rPh sb="8" eb="9">
      <t>ブツリョウ</t>
    </rPh>
    <rPh sb="11" eb="12">
      <t>ネン</t>
    </rPh>
    <phoneticPr fontId="1"/>
  </si>
  <si>
    <t>⑧：①＋②＋③＋④＋⑤＋⑥＋⑦</t>
    <phoneticPr fontId="1"/>
  </si>
  <si>
    <t>温室効果ガス排出量</t>
    <rPh sb="0" eb="2">
      <t>オンシツ</t>
    </rPh>
    <rPh sb="2" eb="4">
      <t>コウカ</t>
    </rPh>
    <rPh sb="6" eb="8">
      <t>ハイシュツ</t>
    </rPh>
    <rPh sb="8" eb="9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</si>
</sst>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"/>
    <numFmt numFmtId="177" formatCode="0.00_ "/>
    <numFmt numFmtId="178" formatCode="0.0%"/>
    <numFmt numFmtId="179" formatCode="#,##0_ "/>
    <numFmt numFmtId="180" formatCode="0.0_ "/>
    <numFmt numFmtId="181" formatCode="#,##0.00_ "/>
    <numFmt numFmtId="182" formatCode="#,##0.000_ "/>
    <numFmt numFmtId="184" formatCode="0.0_);[Red]\(0.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vertAlign val="subscript"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4F9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9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center" vertical="center"/>
    </xf>
    <xf numFmtId="18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3" borderId="1" xfId="0" applyNumberForma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8" fillId="0" borderId="1" xfId="0" applyNumberFormat="1" applyFont="1" applyBorder="1" applyAlignment="1">
      <alignment vertical="center"/>
    </xf>
    <xf numFmtId="181" fontId="0" fillId="0" borderId="1" xfId="0" applyNumberFormat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0" fillId="0" borderId="5" xfId="0" applyNumberFormat="1" applyFill="1" applyBorder="1" applyAlignment="1">
      <alignment horizontal="center" vertical="center"/>
    </xf>
    <xf numFmtId="180" fontId="0" fillId="0" borderId="6" xfId="0" applyNumberFormat="1" applyFill="1" applyBorder="1" applyAlignment="1">
      <alignment horizontal="center" vertical="center"/>
    </xf>
    <xf numFmtId="179" fontId="0" fillId="0" borderId="5" xfId="0" applyNumberFormat="1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181" fontId="0" fillId="0" borderId="4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82" fontId="0" fillId="0" borderId="2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6" fontId="7" fillId="0" borderId="2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84" fontId="0" fillId="0" borderId="1" xfId="0" applyNumberFormat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4F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2057400</xdr:colOff>
      <xdr:row>8</xdr:row>
      <xdr:rowOff>152400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835342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201146</xdr:colOff>
      <xdr:row>0</xdr:row>
      <xdr:rowOff>120463</xdr:rowOff>
    </xdr:from>
    <xdr:to>
      <xdr:col>4</xdr:col>
      <xdr:colOff>352425</xdr:colOff>
      <xdr:row>0</xdr:row>
      <xdr:rowOff>392206</xdr:rowOff>
    </xdr:to>
    <xdr:grpSp>
      <xdr:nvGrpSpPr>
        <xdr:cNvPr id="3" name="グループ化 2"/>
        <xdr:cNvGrpSpPr/>
      </xdr:nvGrpSpPr>
      <xdr:grpSpPr>
        <a:xfrm>
          <a:off x="2630021" y="120463"/>
          <a:ext cx="3075454" cy="271743"/>
          <a:chOff x="2763371" y="120093"/>
          <a:chExt cx="3075454" cy="276225"/>
        </a:xfrm>
      </xdr:grpSpPr>
      <xdr:sp macro="" textlink="">
        <xdr:nvSpPr>
          <xdr:cNvPr id="4" name="正方形/長方形 3"/>
          <xdr:cNvSpPr/>
        </xdr:nvSpPr>
        <xdr:spPr>
          <a:xfrm>
            <a:off x="2763371" y="184336"/>
            <a:ext cx="493059" cy="156882"/>
          </a:xfrm>
          <a:prstGeom prst="rect">
            <a:avLst/>
          </a:prstGeom>
          <a:solidFill>
            <a:srgbClr val="D4F9FE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305175" y="120093"/>
            <a:ext cx="2533650" cy="2762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lnSpc>
                <a:spcPts val="17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游ゴシック"/>
                <a:ea typeface="游ゴシック"/>
              </a:rPr>
              <a:t>：手入力またはプルダウンで選択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showGridLines="0" tabSelected="1" view="pageBreakPreview" topLeftCell="A58" zoomScaleNormal="85" zoomScaleSheetLayoutView="100" workbookViewId="0">
      <selection activeCell="F52" sqref="F52:G52"/>
    </sheetView>
  </sheetViews>
  <sheetFormatPr defaultRowHeight="18.75" x14ac:dyDescent="0.4"/>
  <cols>
    <col min="1" max="1" width="1.625" style="6" customWidth="1"/>
    <col min="2" max="2" width="11" style="6" customWidth="1"/>
    <col min="3" max="3" width="19.25" style="6" bestFit="1" customWidth="1"/>
    <col min="4" max="4" width="38.375" style="6" customWidth="1"/>
    <col min="5" max="5" width="12.375" style="6" customWidth="1"/>
    <col min="6" max="6" width="27.625" style="6" customWidth="1"/>
    <col min="7" max="7" width="24.625" style="19" customWidth="1"/>
    <col min="8" max="8" width="22.5" style="6" bestFit="1" customWidth="1"/>
    <col min="9" max="9" width="37.75" style="6" bestFit="1" customWidth="1"/>
    <col min="10" max="10" width="3.625" style="6" customWidth="1"/>
    <col min="11" max="11" width="13" style="24" bestFit="1" customWidth="1"/>
    <col min="12" max="12" width="12.25" style="24" bestFit="1" customWidth="1"/>
    <col min="13" max="14" width="1.625" style="24" customWidth="1"/>
    <col min="15" max="15" width="1.625" style="6" customWidth="1"/>
    <col min="16" max="17" width="19.25" style="6" hidden="1" customWidth="1"/>
    <col min="18" max="18" width="8.625" style="6" hidden="1" customWidth="1"/>
    <col min="19" max="19" width="21.375" style="6" hidden="1" customWidth="1"/>
    <col min="20" max="20" width="11.625" style="6" hidden="1" customWidth="1"/>
    <col min="21" max="16384" width="9" style="6"/>
  </cols>
  <sheetData>
    <row r="1" spans="2:21" s="19" customFormat="1" ht="33" x14ac:dyDescent="0.4">
      <c r="B1" s="16" t="s">
        <v>33</v>
      </c>
      <c r="D1" s="31"/>
      <c r="K1" s="24"/>
      <c r="L1" s="24"/>
      <c r="M1" s="24"/>
      <c r="N1" s="24"/>
    </row>
    <row r="2" spans="2:21" s="19" customFormat="1" ht="20.25" x14ac:dyDescent="0.4">
      <c r="B2" s="86" t="s">
        <v>60</v>
      </c>
      <c r="C2" s="86"/>
      <c r="D2" s="42">
        <v>7000</v>
      </c>
      <c r="F2" s="32" t="s">
        <v>46</v>
      </c>
      <c r="G2" s="44">
        <v>365</v>
      </c>
      <c r="H2" s="33"/>
      <c r="I2" s="34"/>
      <c r="K2" s="24"/>
      <c r="L2" s="24"/>
      <c r="M2" s="24"/>
      <c r="N2" s="24"/>
    </row>
    <row r="3" spans="2:21" s="19" customFormat="1" ht="20.25" x14ac:dyDescent="0.4">
      <c r="B3" s="86" t="s">
        <v>61</v>
      </c>
      <c r="C3" s="86"/>
      <c r="D3" s="42">
        <v>10000</v>
      </c>
      <c r="F3" s="32" t="s">
        <v>47</v>
      </c>
      <c r="G3" s="44">
        <v>15</v>
      </c>
      <c r="H3" s="33"/>
      <c r="I3" s="34"/>
      <c r="K3" s="24"/>
      <c r="L3" s="24"/>
      <c r="M3" s="24"/>
      <c r="N3" s="24"/>
      <c r="P3" s="46"/>
      <c r="Q3" s="62" t="s">
        <v>36</v>
      </c>
      <c r="R3" s="61"/>
      <c r="S3" s="62" t="s">
        <v>37</v>
      </c>
      <c r="T3" s="61"/>
    </row>
    <row r="4" spans="2:21" s="19" customFormat="1" ht="20.25" x14ac:dyDescent="0.4">
      <c r="B4" s="86" t="s">
        <v>97</v>
      </c>
      <c r="C4" s="86"/>
      <c r="D4" s="43">
        <v>1</v>
      </c>
      <c r="F4" s="107" t="s">
        <v>75</v>
      </c>
      <c r="G4" s="44">
        <v>50</v>
      </c>
      <c r="H4" s="45"/>
      <c r="I4" s="45"/>
      <c r="K4" s="24"/>
      <c r="L4" s="24"/>
      <c r="M4" s="24"/>
      <c r="N4" s="24"/>
      <c r="P4" s="46" t="s">
        <v>34</v>
      </c>
      <c r="Q4" s="46">
        <v>44.8</v>
      </c>
      <c r="R4" s="46" t="s">
        <v>43</v>
      </c>
      <c r="S4" s="32">
        <v>2.23</v>
      </c>
      <c r="T4" s="32" t="s">
        <v>55</v>
      </c>
      <c r="U4" s="47"/>
    </row>
    <row r="5" spans="2:21" s="19" customFormat="1" ht="20.25" x14ac:dyDescent="0.4">
      <c r="B5" s="86" t="s">
        <v>103</v>
      </c>
      <c r="C5" s="86"/>
      <c r="D5" s="42">
        <v>80</v>
      </c>
      <c r="F5" s="32" t="s">
        <v>76</v>
      </c>
      <c r="G5" s="44">
        <v>55</v>
      </c>
      <c r="H5" s="36"/>
      <c r="I5" s="36"/>
      <c r="K5" s="24"/>
      <c r="L5" s="24"/>
      <c r="M5" s="24"/>
      <c r="N5" s="24"/>
      <c r="P5" s="46" t="s">
        <v>35</v>
      </c>
      <c r="Q5" s="46">
        <v>0</v>
      </c>
      <c r="R5" s="46" t="s">
        <v>44</v>
      </c>
      <c r="S5" s="35">
        <v>0</v>
      </c>
      <c r="T5" s="35" t="s">
        <v>56</v>
      </c>
    </row>
    <row r="6" spans="2:21" s="56" customFormat="1" x14ac:dyDescent="0.4">
      <c r="B6" s="86" t="s">
        <v>108</v>
      </c>
      <c r="C6" s="86"/>
      <c r="D6" s="42">
        <v>16000</v>
      </c>
      <c r="F6" s="107" t="s">
        <v>77</v>
      </c>
      <c r="G6" s="44">
        <v>60</v>
      </c>
      <c r="H6" s="36"/>
      <c r="I6" s="36"/>
      <c r="P6" s="25"/>
      <c r="Q6" s="25"/>
      <c r="R6" s="25"/>
      <c r="S6" s="108"/>
      <c r="T6" s="108"/>
    </row>
    <row r="7" spans="2:21" s="56" customFormat="1" x14ac:dyDescent="0.4">
      <c r="B7" s="25"/>
      <c r="C7" s="25"/>
      <c r="D7" s="59"/>
      <c r="F7" s="107" t="s">
        <v>78</v>
      </c>
      <c r="G7" s="44">
        <v>45</v>
      </c>
      <c r="H7" s="36"/>
      <c r="I7" s="36"/>
      <c r="P7" s="25"/>
      <c r="Q7" s="25"/>
      <c r="R7" s="25"/>
      <c r="S7" s="108"/>
      <c r="T7" s="108"/>
    </row>
    <row r="8" spans="2:21" s="19" customFormat="1" x14ac:dyDescent="0.4">
      <c r="F8" s="1"/>
      <c r="K8" s="24"/>
      <c r="L8" s="24"/>
      <c r="M8" s="24"/>
      <c r="N8" s="24"/>
    </row>
    <row r="9" spans="2:21" ht="33" x14ac:dyDescent="0.4">
      <c r="B9" s="16" t="s">
        <v>73</v>
      </c>
      <c r="O9" s="37"/>
      <c r="P9" s="25"/>
      <c r="Q9" s="25"/>
      <c r="R9" s="25"/>
    </row>
    <row r="10" spans="2:21" x14ac:dyDescent="0.4">
      <c r="B10" s="8" t="s">
        <v>9</v>
      </c>
      <c r="C10" s="8" t="s">
        <v>11</v>
      </c>
      <c r="D10" s="8" t="s">
        <v>10</v>
      </c>
      <c r="E10" s="8" t="s">
        <v>15</v>
      </c>
      <c r="F10" s="62" t="s">
        <v>21</v>
      </c>
      <c r="G10" s="61"/>
      <c r="H10" s="8" t="s">
        <v>7</v>
      </c>
      <c r="I10" s="8" t="s">
        <v>8</v>
      </c>
      <c r="O10" s="25"/>
      <c r="P10" s="25"/>
      <c r="Q10" s="25"/>
      <c r="R10" s="25"/>
    </row>
    <row r="11" spans="2:21" ht="19.5" customHeight="1" x14ac:dyDescent="0.4">
      <c r="B11" s="69" t="s">
        <v>3</v>
      </c>
      <c r="C11" s="87" t="s">
        <v>59</v>
      </c>
      <c r="D11" s="13" t="s">
        <v>42</v>
      </c>
      <c r="E11" s="8" t="s">
        <v>19</v>
      </c>
      <c r="F11" s="95" t="s">
        <v>62</v>
      </c>
      <c r="G11" s="96"/>
      <c r="H11" s="3">
        <f>1.209*D3^0.708</f>
        <v>821.15719183417627</v>
      </c>
      <c r="I11" s="15" t="s">
        <v>66</v>
      </c>
      <c r="K11" s="48" t="s">
        <v>52</v>
      </c>
      <c r="L11" s="42">
        <v>2.2999999999999998</v>
      </c>
      <c r="O11" s="40"/>
      <c r="P11" s="40"/>
      <c r="Q11" s="25"/>
      <c r="R11" s="25"/>
    </row>
    <row r="12" spans="2:21" ht="19.5" customHeight="1" x14ac:dyDescent="0.4">
      <c r="B12" s="88"/>
      <c r="C12" s="87"/>
      <c r="D12" s="13" t="s">
        <v>4</v>
      </c>
      <c r="E12" s="8" t="s">
        <v>19</v>
      </c>
      <c r="F12" s="95" t="s">
        <v>63</v>
      </c>
      <c r="G12" s="96"/>
      <c r="H12" s="20">
        <f>3.276*D3^0.392</f>
        <v>121.15571169601526</v>
      </c>
      <c r="I12" s="15" t="s">
        <v>67</v>
      </c>
      <c r="O12" s="40"/>
      <c r="P12" s="40"/>
      <c r="Q12" s="38"/>
      <c r="R12" s="25"/>
    </row>
    <row r="13" spans="2:21" ht="19.5" customHeight="1" x14ac:dyDescent="0.4">
      <c r="B13" s="88"/>
      <c r="C13" s="87"/>
      <c r="D13" s="13" t="s">
        <v>58</v>
      </c>
      <c r="E13" s="8" t="s">
        <v>19</v>
      </c>
      <c r="F13" s="95" t="s">
        <v>64</v>
      </c>
      <c r="G13" s="96"/>
      <c r="H13" s="50">
        <f>5.236*D3^0.426</f>
        <v>264.8497930248306</v>
      </c>
      <c r="I13" s="15" t="s">
        <v>68</v>
      </c>
      <c r="K13" s="86" t="s">
        <v>53</v>
      </c>
      <c r="L13" s="86"/>
      <c r="O13" s="40"/>
      <c r="P13" s="40"/>
      <c r="Q13" s="38"/>
      <c r="R13" s="25"/>
    </row>
    <row r="14" spans="2:21" ht="19.5" customHeight="1" x14ac:dyDescent="0.4">
      <c r="B14" s="88"/>
      <c r="C14" s="87"/>
      <c r="D14" s="8" t="s">
        <v>6</v>
      </c>
      <c r="E14" s="8" t="s">
        <v>19</v>
      </c>
      <c r="F14" s="62" t="s">
        <v>22</v>
      </c>
      <c r="G14" s="61"/>
      <c r="H14" s="20">
        <f>+H11+H12+H13</f>
        <v>1207.1626965550222</v>
      </c>
      <c r="I14" s="15" t="s">
        <v>28</v>
      </c>
      <c r="K14" s="55" t="s">
        <v>42</v>
      </c>
      <c r="L14" s="42">
        <v>15</v>
      </c>
      <c r="O14" s="75"/>
      <c r="P14" s="75"/>
      <c r="Q14" s="38"/>
      <c r="R14" s="25"/>
    </row>
    <row r="15" spans="2:21" s="24" customFormat="1" ht="19.5" customHeight="1" x14ac:dyDescent="0.4">
      <c r="B15" s="88"/>
      <c r="C15" s="87"/>
      <c r="D15" s="79" t="s">
        <v>2</v>
      </c>
      <c r="E15" s="79" t="s">
        <v>20</v>
      </c>
      <c r="F15" s="89" t="s">
        <v>45</v>
      </c>
      <c r="G15" s="90"/>
      <c r="H15" s="84">
        <f>H11*L11/100*(1+L11/100)^L14/((1+L11/100)^L14-1)+H12*L11/100*(1+L11/100)^L15/((1+L11/100)^L15-1)+H13*L11/100*(1+L11/100)^L16/((1+L11/100)^L16-1)</f>
        <v>84.501366817994366</v>
      </c>
      <c r="I15" s="81" t="s">
        <v>65</v>
      </c>
      <c r="K15" s="55" t="s">
        <v>4</v>
      </c>
      <c r="L15" s="42">
        <v>15</v>
      </c>
      <c r="O15" s="40"/>
      <c r="P15" s="40"/>
      <c r="Q15" s="38"/>
      <c r="R15" s="25"/>
    </row>
    <row r="16" spans="2:21" ht="19.5" customHeight="1" x14ac:dyDescent="0.4">
      <c r="B16" s="88"/>
      <c r="C16" s="87"/>
      <c r="D16" s="80"/>
      <c r="E16" s="80"/>
      <c r="F16" s="91"/>
      <c r="G16" s="92"/>
      <c r="H16" s="85"/>
      <c r="I16" s="83"/>
      <c r="K16" s="14" t="s">
        <v>58</v>
      </c>
      <c r="L16" s="42">
        <v>45</v>
      </c>
      <c r="O16" s="75"/>
      <c r="P16" s="75"/>
      <c r="Q16" s="39"/>
      <c r="R16" s="25"/>
    </row>
    <row r="17" spans="2:18" s="24" customFormat="1" ht="39" customHeight="1" x14ac:dyDescent="0.4">
      <c r="B17" s="88"/>
      <c r="C17" s="87"/>
      <c r="D17" s="69" t="s">
        <v>49</v>
      </c>
      <c r="E17" s="54" t="s">
        <v>71</v>
      </c>
      <c r="F17" s="95" t="s">
        <v>70</v>
      </c>
      <c r="G17" s="96"/>
      <c r="H17" s="53">
        <f>0.18*D2</f>
        <v>1260</v>
      </c>
      <c r="I17" s="52" t="s">
        <v>69</v>
      </c>
      <c r="O17" s="40"/>
      <c r="P17" s="40"/>
      <c r="Q17" s="39"/>
      <c r="R17" s="25"/>
    </row>
    <row r="18" spans="2:18" s="24" customFormat="1" ht="19.5" customHeight="1" x14ac:dyDescent="0.4">
      <c r="B18" s="88"/>
      <c r="C18" s="87"/>
      <c r="D18" s="88"/>
      <c r="E18" s="79" t="s">
        <v>20</v>
      </c>
      <c r="F18" s="103" t="s">
        <v>72</v>
      </c>
      <c r="G18" s="104"/>
      <c r="H18" s="73">
        <f>H17*L18*15*10^-6</f>
        <v>6.8984999999999994</v>
      </c>
      <c r="I18" s="69" t="s">
        <v>40</v>
      </c>
      <c r="K18" s="28" t="s">
        <v>51</v>
      </c>
      <c r="L18" s="29">
        <f>G2</f>
        <v>365</v>
      </c>
      <c r="O18" s="40"/>
      <c r="P18" s="40"/>
      <c r="Q18" s="11"/>
      <c r="R18" s="25"/>
    </row>
    <row r="19" spans="2:18" ht="19.5" customHeight="1" x14ac:dyDescent="0.4">
      <c r="B19" s="88"/>
      <c r="C19" s="87"/>
      <c r="D19" s="70"/>
      <c r="E19" s="80"/>
      <c r="F19" s="105"/>
      <c r="G19" s="106"/>
      <c r="H19" s="74"/>
      <c r="I19" s="70"/>
      <c r="K19" s="28" t="s">
        <v>54</v>
      </c>
      <c r="L19" s="29">
        <f>G3</f>
        <v>15</v>
      </c>
      <c r="O19" s="41"/>
      <c r="P19" s="41"/>
      <c r="Q19" s="11"/>
      <c r="R19" s="9"/>
    </row>
    <row r="20" spans="2:18" ht="39" customHeight="1" x14ac:dyDescent="0.4">
      <c r="B20" s="88"/>
      <c r="C20" s="87"/>
      <c r="D20" s="69" t="s">
        <v>74</v>
      </c>
      <c r="E20" s="14" t="s">
        <v>80</v>
      </c>
      <c r="F20" s="95" t="s">
        <v>79</v>
      </c>
      <c r="G20" s="96"/>
      <c r="H20" s="50">
        <f>4.923*D2*10^-3</f>
        <v>34.460999999999999</v>
      </c>
      <c r="I20" s="52" t="s">
        <v>69</v>
      </c>
      <c r="O20" s="75"/>
      <c r="P20" s="75"/>
      <c r="Q20" s="5"/>
    </row>
    <row r="21" spans="2:18" s="24" customFormat="1" ht="19.5" customHeight="1" x14ac:dyDescent="0.4">
      <c r="B21" s="88"/>
      <c r="C21" s="87"/>
      <c r="D21" s="88"/>
      <c r="E21" s="79" t="s">
        <v>20</v>
      </c>
      <c r="F21" s="97" t="s">
        <v>81</v>
      </c>
      <c r="G21" s="98"/>
      <c r="H21" s="76">
        <f>H20*L22*L21*10^-6</f>
        <v>0.62891324999999998</v>
      </c>
      <c r="I21" s="69" t="s">
        <v>39</v>
      </c>
      <c r="K21" s="28" t="s">
        <v>51</v>
      </c>
      <c r="L21" s="29">
        <f>G2</f>
        <v>365</v>
      </c>
      <c r="O21" s="5"/>
      <c r="P21" s="5"/>
      <c r="Q21" s="5"/>
    </row>
    <row r="22" spans="2:18" ht="19.5" customHeight="1" x14ac:dyDescent="0.4">
      <c r="B22" s="88"/>
      <c r="C22" s="87"/>
      <c r="D22" s="70"/>
      <c r="E22" s="80"/>
      <c r="F22" s="99"/>
      <c r="G22" s="100"/>
      <c r="H22" s="77"/>
      <c r="I22" s="70"/>
      <c r="K22" s="23" t="s">
        <v>57</v>
      </c>
      <c r="L22" s="29">
        <f>G4</f>
        <v>50</v>
      </c>
      <c r="O22" s="75"/>
      <c r="P22" s="75"/>
      <c r="Q22" s="5"/>
      <c r="R22" s="5"/>
    </row>
    <row r="23" spans="2:18" s="56" customFormat="1" ht="39" customHeight="1" x14ac:dyDescent="0.4">
      <c r="B23" s="88"/>
      <c r="C23" s="87"/>
      <c r="D23" s="69" t="s">
        <v>82</v>
      </c>
      <c r="E23" s="14" t="s">
        <v>80</v>
      </c>
      <c r="F23" s="95" t="s">
        <v>83</v>
      </c>
      <c r="G23" s="96"/>
      <c r="H23" s="50">
        <f>0.036*D2*10^-3</f>
        <v>0.252</v>
      </c>
      <c r="I23" s="52" t="s">
        <v>69</v>
      </c>
      <c r="O23" s="75"/>
      <c r="P23" s="75"/>
      <c r="Q23" s="59"/>
    </row>
    <row r="24" spans="2:18" s="56" customFormat="1" ht="19.5" customHeight="1" x14ac:dyDescent="0.4">
      <c r="B24" s="88"/>
      <c r="C24" s="87"/>
      <c r="D24" s="88"/>
      <c r="E24" s="79" t="s">
        <v>20</v>
      </c>
      <c r="F24" s="97" t="s">
        <v>81</v>
      </c>
      <c r="G24" s="98"/>
      <c r="H24" s="76">
        <f>H23*L25*L24*10^-6</f>
        <v>5.058899999999999E-3</v>
      </c>
      <c r="I24" s="69" t="s">
        <v>41</v>
      </c>
      <c r="K24" s="28" t="s">
        <v>51</v>
      </c>
      <c r="L24" s="29">
        <f>G2</f>
        <v>365</v>
      </c>
      <c r="O24" s="59"/>
      <c r="P24" s="59"/>
      <c r="Q24" s="59"/>
    </row>
    <row r="25" spans="2:18" s="56" customFormat="1" ht="19.5" customHeight="1" x14ac:dyDescent="0.4">
      <c r="B25" s="88"/>
      <c r="C25" s="87"/>
      <c r="D25" s="70"/>
      <c r="E25" s="80"/>
      <c r="F25" s="99"/>
      <c r="G25" s="100"/>
      <c r="H25" s="77"/>
      <c r="I25" s="70"/>
      <c r="K25" s="55" t="s">
        <v>57</v>
      </c>
      <c r="L25" s="29">
        <f>G5</f>
        <v>55</v>
      </c>
      <c r="O25" s="75"/>
      <c r="P25" s="75"/>
      <c r="Q25" s="59"/>
      <c r="R25" s="59"/>
    </row>
    <row r="26" spans="2:18" s="56" customFormat="1" ht="39" customHeight="1" x14ac:dyDescent="0.4">
      <c r="B26" s="88"/>
      <c r="C26" s="87"/>
      <c r="D26" s="69" t="s">
        <v>84</v>
      </c>
      <c r="E26" s="14" t="s">
        <v>80</v>
      </c>
      <c r="F26" s="95" t="s">
        <v>85</v>
      </c>
      <c r="G26" s="96"/>
      <c r="H26" s="50">
        <f>0.08*D2*10^-3</f>
        <v>0.56000000000000005</v>
      </c>
      <c r="I26" s="52" t="s">
        <v>69</v>
      </c>
      <c r="O26" s="75"/>
      <c r="P26" s="75"/>
      <c r="Q26" s="59"/>
    </row>
    <row r="27" spans="2:18" s="56" customFormat="1" ht="19.5" customHeight="1" x14ac:dyDescent="0.4">
      <c r="B27" s="88"/>
      <c r="C27" s="87"/>
      <c r="D27" s="88"/>
      <c r="E27" s="79" t="s">
        <v>20</v>
      </c>
      <c r="F27" s="97" t="s">
        <v>81</v>
      </c>
      <c r="G27" s="98"/>
      <c r="H27" s="76">
        <f>H26*L28*L27*10^-6</f>
        <v>1.2263999999999999E-2</v>
      </c>
      <c r="I27" s="69" t="s">
        <v>86</v>
      </c>
      <c r="K27" s="28" t="s">
        <v>51</v>
      </c>
      <c r="L27" s="29">
        <f>G2</f>
        <v>365</v>
      </c>
      <c r="O27" s="59"/>
      <c r="P27" s="59"/>
      <c r="Q27" s="59"/>
    </row>
    <row r="28" spans="2:18" s="56" customFormat="1" ht="19.5" customHeight="1" x14ac:dyDescent="0.4">
      <c r="B28" s="88"/>
      <c r="C28" s="87"/>
      <c r="D28" s="70"/>
      <c r="E28" s="80"/>
      <c r="F28" s="99"/>
      <c r="G28" s="100"/>
      <c r="H28" s="77"/>
      <c r="I28" s="70"/>
      <c r="K28" s="55" t="s">
        <v>57</v>
      </c>
      <c r="L28" s="29">
        <f>G6</f>
        <v>60</v>
      </c>
      <c r="O28" s="75"/>
      <c r="P28" s="75"/>
      <c r="Q28" s="59"/>
      <c r="R28" s="59"/>
    </row>
    <row r="29" spans="2:18" s="56" customFormat="1" ht="39" customHeight="1" x14ac:dyDescent="0.4">
      <c r="B29" s="88"/>
      <c r="C29" s="87"/>
      <c r="D29" s="69" t="s">
        <v>87</v>
      </c>
      <c r="E29" s="14" t="s">
        <v>80</v>
      </c>
      <c r="F29" s="95" t="s">
        <v>88</v>
      </c>
      <c r="G29" s="96"/>
      <c r="H29" s="50">
        <f>0.066*D2*10^-3</f>
        <v>0.46200000000000002</v>
      </c>
      <c r="I29" s="52" t="s">
        <v>69</v>
      </c>
      <c r="O29" s="75"/>
      <c r="P29" s="75"/>
      <c r="Q29" s="59"/>
    </row>
    <row r="30" spans="2:18" s="56" customFormat="1" ht="19.5" customHeight="1" x14ac:dyDescent="0.4">
      <c r="B30" s="88"/>
      <c r="C30" s="87"/>
      <c r="D30" s="88"/>
      <c r="E30" s="79" t="s">
        <v>20</v>
      </c>
      <c r="F30" s="97" t="s">
        <v>81</v>
      </c>
      <c r="G30" s="98"/>
      <c r="H30" s="76">
        <f>H29*L31*L30*10^-6</f>
        <v>7.5883500000000007E-3</v>
      </c>
      <c r="I30" s="69" t="s">
        <v>89</v>
      </c>
      <c r="K30" s="28" t="s">
        <v>51</v>
      </c>
      <c r="L30" s="29">
        <f>G2</f>
        <v>365</v>
      </c>
      <c r="O30" s="59"/>
      <c r="P30" s="59"/>
      <c r="Q30" s="59"/>
    </row>
    <row r="31" spans="2:18" s="56" customFormat="1" ht="19.5" customHeight="1" x14ac:dyDescent="0.4">
      <c r="B31" s="88"/>
      <c r="C31" s="87"/>
      <c r="D31" s="70"/>
      <c r="E31" s="80"/>
      <c r="F31" s="99"/>
      <c r="G31" s="100"/>
      <c r="H31" s="77"/>
      <c r="I31" s="70"/>
      <c r="K31" s="55" t="s">
        <v>57</v>
      </c>
      <c r="L31" s="29">
        <f>G7</f>
        <v>45</v>
      </c>
      <c r="O31" s="75"/>
      <c r="P31" s="75"/>
      <c r="Q31" s="59"/>
      <c r="R31" s="59"/>
    </row>
    <row r="32" spans="2:18" ht="39" customHeight="1" x14ac:dyDescent="0.4">
      <c r="B32" s="88"/>
      <c r="C32" s="87"/>
      <c r="D32" s="21" t="s">
        <v>92</v>
      </c>
      <c r="E32" s="8" t="s">
        <v>20</v>
      </c>
      <c r="F32" s="62" t="s">
        <v>91</v>
      </c>
      <c r="G32" s="61"/>
      <c r="H32" s="3">
        <f>(2.06*D2+0.32*D2)*10^-3</f>
        <v>16.66</v>
      </c>
      <c r="I32" s="52" t="s">
        <v>90</v>
      </c>
      <c r="O32" s="5"/>
      <c r="P32" s="5"/>
      <c r="Q32" s="5"/>
      <c r="R32" s="5"/>
    </row>
    <row r="33" spans="2:18" s="56" customFormat="1" ht="19.5" customHeight="1" x14ac:dyDescent="0.4">
      <c r="B33" s="88"/>
      <c r="C33" s="87"/>
      <c r="D33" s="57" t="s">
        <v>50</v>
      </c>
      <c r="E33" s="55" t="s">
        <v>20</v>
      </c>
      <c r="F33" s="62" t="s">
        <v>93</v>
      </c>
      <c r="G33" s="61"/>
      <c r="H33" s="3">
        <f>144.77*D2^0.384*10^-3</f>
        <v>4.337067903626318</v>
      </c>
      <c r="I33" s="15" t="s">
        <v>94</v>
      </c>
      <c r="O33" s="59"/>
      <c r="P33" s="59"/>
      <c r="Q33" s="59"/>
      <c r="R33" s="59"/>
    </row>
    <row r="34" spans="2:18" s="56" customFormat="1" ht="39" customHeight="1" x14ac:dyDescent="0.4">
      <c r="B34" s="88"/>
      <c r="C34" s="87"/>
      <c r="D34" s="81" t="s">
        <v>98</v>
      </c>
      <c r="E34" s="109" t="s">
        <v>99</v>
      </c>
      <c r="F34" s="95" t="s">
        <v>102</v>
      </c>
      <c r="G34" s="96"/>
      <c r="H34" s="50">
        <f>(3/0.922*10^-6)*D2/(D4/100)</f>
        <v>2.2776572668112798</v>
      </c>
      <c r="I34" s="58" t="s">
        <v>106</v>
      </c>
      <c r="O34" s="75"/>
      <c r="P34" s="75"/>
      <c r="Q34" s="59"/>
    </row>
    <row r="35" spans="2:18" s="56" customFormat="1" ht="19.5" customHeight="1" x14ac:dyDescent="0.4">
      <c r="B35" s="88"/>
      <c r="C35" s="87"/>
      <c r="D35" s="82"/>
      <c r="E35" s="79" t="s">
        <v>20</v>
      </c>
      <c r="F35" s="97" t="s">
        <v>100</v>
      </c>
      <c r="G35" s="98"/>
      <c r="H35" s="76">
        <f>(0.03*H34^0.628+0.039*H34*L35^0.596)*(107.2/100)</f>
        <v>3.2592700998372068</v>
      </c>
      <c r="I35" s="69" t="s">
        <v>29</v>
      </c>
      <c r="K35" s="28" t="s">
        <v>51</v>
      </c>
      <c r="L35" s="29">
        <f>G2</f>
        <v>365</v>
      </c>
      <c r="O35" s="59"/>
      <c r="P35" s="59"/>
      <c r="Q35" s="59"/>
    </row>
    <row r="36" spans="2:18" s="56" customFormat="1" ht="19.5" customHeight="1" x14ac:dyDescent="0.4">
      <c r="B36" s="88"/>
      <c r="C36" s="87"/>
      <c r="D36" s="83"/>
      <c r="E36" s="80"/>
      <c r="F36" s="99"/>
      <c r="G36" s="100"/>
      <c r="H36" s="77"/>
      <c r="I36" s="70"/>
      <c r="K36" s="25"/>
      <c r="L36" s="59"/>
      <c r="O36" s="75"/>
      <c r="P36" s="75"/>
      <c r="Q36" s="59"/>
      <c r="R36" s="59"/>
    </row>
    <row r="37" spans="2:18" s="56" customFormat="1" ht="39" customHeight="1" x14ac:dyDescent="0.4">
      <c r="B37" s="88"/>
      <c r="C37" s="87"/>
      <c r="D37" s="81" t="s">
        <v>101</v>
      </c>
      <c r="E37" s="109" t="s">
        <v>105</v>
      </c>
      <c r="F37" s="95" t="s">
        <v>104</v>
      </c>
      <c r="G37" s="96"/>
      <c r="H37" s="50">
        <f>(3/0.922)*10^-6*D2*100/(100-D5)</f>
        <v>0.11388286334056399</v>
      </c>
      <c r="I37" s="58" t="s">
        <v>107</v>
      </c>
      <c r="O37" s="75"/>
      <c r="P37" s="75"/>
      <c r="Q37" s="59"/>
    </row>
    <row r="38" spans="2:18" s="56" customFormat="1" ht="19.5" customHeight="1" x14ac:dyDescent="0.4">
      <c r="B38" s="88"/>
      <c r="C38" s="87"/>
      <c r="D38" s="82"/>
      <c r="E38" s="79" t="s">
        <v>20</v>
      </c>
      <c r="F38" s="97" t="s">
        <v>109</v>
      </c>
      <c r="G38" s="98"/>
      <c r="H38" s="76">
        <f>H37*L39*L38*10^-6</f>
        <v>0.66507592190889375</v>
      </c>
      <c r="I38" s="69" t="s">
        <v>30</v>
      </c>
      <c r="K38" s="28" t="s">
        <v>51</v>
      </c>
      <c r="L38" s="29">
        <f>G2</f>
        <v>365</v>
      </c>
      <c r="O38" s="59"/>
      <c r="P38" s="59"/>
      <c r="Q38" s="59"/>
    </row>
    <row r="39" spans="2:18" s="56" customFormat="1" ht="19.5" customHeight="1" x14ac:dyDescent="0.4">
      <c r="B39" s="88"/>
      <c r="C39" s="87"/>
      <c r="D39" s="83"/>
      <c r="E39" s="80"/>
      <c r="F39" s="99"/>
      <c r="G39" s="100"/>
      <c r="H39" s="77"/>
      <c r="I39" s="70"/>
      <c r="K39" s="55" t="s">
        <v>110</v>
      </c>
      <c r="L39" s="29">
        <f>D6</f>
        <v>16000</v>
      </c>
      <c r="O39" s="75"/>
      <c r="P39" s="75"/>
      <c r="Q39" s="59"/>
      <c r="R39" s="59"/>
    </row>
    <row r="40" spans="2:18" ht="19.5" customHeight="1" x14ac:dyDescent="0.4">
      <c r="B40" s="88"/>
      <c r="C40" s="87"/>
      <c r="D40" s="8" t="s">
        <v>5</v>
      </c>
      <c r="E40" s="8" t="s">
        <v>20</v>
      </c>
      <c r="F40" s="62" t="s">
        <v>22</v>
      </c>
      <c r="G40" s="61"/>
      <c r="H40" s="3">
        <f>H18+H21+H24+H27+H30+H32+H33+H35+H38</f>
        <v>32.473738425372417</v>
      </c>
      <c r="I40" s="15" t="s">
        <v>111</v>
      </c>
      <c r="O40" s="5"/>
      <c r="P40" s="5"/>
      <c r="Q40" s="5"/>
      <c r="R40" s="5"/>
    </row>
    <row r="41" spans="2:18" ht="19.5" customHeight="1" x14ac:dyDescent="0.4">
      <c r="B41" s="88"/>
      <c r="C41" s="86" t="s">
        <v>95</v>
      </c>
      <c r="D41" s="86"/>
      <c r="E41" s="8" t="s">
        <v>20</v>
      </c>
      <c r="F41" s="62" t="s">
        <v>22</v>
      </c>
      <c r="G41" s="61"/>
      <c r="H41" s="20">
        <f>H15</f>
        <v>84.501366817994366</v>
      </c>
      <c r="I41" s="15" t="s">
        <v>112</v>
      </c>
    </row>
    <row r="42" spans="2:18" ht="19.5" customHeight="1" x14ac:dyDescent="0.4">
      <c r="B42" s="88"/>
      <c r="C42" s="86" t="s">
        <v>96</v>
      </c>
      <c r="D42" s="86"/>
      <c r="E42" s="8" t="s">
        <v>20</v>
      </c>
      <c r="F42" s="62" t="s">
        <v>22</v>
      </c>
      <c r="G42" s="61"/>
      <c r="H42" s="20">
        <f>H40</f>
        <v>32.473738425372417</v>
      </c>
      <c r="I42" s="15" t="s">
        <v>113</v>
      </c>
    </row>
    <row r="43" spans="2:18" ht="19.5" customHeight="1" x14ac:dyDescent="0.4">
      <c r="B43" s="70"/>
      <c r="C43" s="102" t="s">
        <v>48</v>
      </c>
      <c r="D43" s="102"/>
      <c r="E43" s="8" t="s">
        <v>20</v>
      </c>
      <c r="F43" s="62" t="s">
        <v>22</v>
      </c>
      <c r="G43" s="61"/>
      <c r="H43" s="51">
        <f>+H41+H42</f>
        <v>116.97510524336678</v>
      </c>
      <c r="I43" s="12" t="s">
        <v>115</v>
      </c>
    </row>
    <row r="44" spans="2:18" ht="20.100000000000001" customHeight="1" x14ac:dyDescent="0.4">
      <c r="B44" s="117" t="s">
        <v>116</v>
      </c>
      <c r="C44" s="118"/>
      <c r="D44" s="119" t="s">
        <v>124</v>
      </c>
      <c r="E44" s="18" t="s">
        <v>114</v>
      </c>
      <c r="F44" s="62" t="s">
        <v>127</v>
      </c>
      <c r="G44" s="61"/>
      <c r="H44" s="110">
        <f>(H41*10^6)/(D2*L44)</f>
        <v>33.072942003128915</v>
      </c>
      <c r="I44" s="57" t="s">
        <v>128</v>
      </c>
      <c r="K44" s="28" t="s">
        <v>51</v>
      </c>
      <c r="L44" s="29">
        <f>G2</f>
        <v>365</v>
      </c>
    </row>
    <row r="45" spans="2:18" s="56" customFormat="1" ht="20.100000000000001" customHeight="1" x14ac:dyDescent="0.4">
      <c r="B45" s="118"/>
      <c r="C45" s="118"/>
      <c r="D45" s="119" t="s">
        <v>125</v>
      </c>
      <c r="E45" s="29" t="s">
        <v>114</v>
      </c>
      <c r="F45" s="62" t="s">
        <v>119</v>
      </c>
      <c r="G45" s="61"/>
      <c r="H45" s="110">
        <f>(H42*10^6)/(D2*L44)</f>
        <v>12.709878052983333</v>
      </c>
      <c r="I45" s="21" t="s">
        <v>126</v>
      </c>
      <c r="K45" s="116"/>
      <c r="L45" s="59"/>
    </row>
    <row r="46" spans="2:18" s="30" customFormat="1" ht="19.5" customHeight="1" x14ac:dyDescent="0.4"/>
    <row r="47" spans="2:18" ht="33" x14ac:dyDescent="0.4">
      <c r="B47" s="16" t="s">
        <v>122</v>
      </c>
    </row>
    <row r="48" spans="2:18" ht="19.5" customHeight="1" x14ac:dyDescent="0.4">
      <c r="B48" s="86" t="s">
        <v>10</v>
      </c>
      <c r="C48" s="86"/>
      <c r="D48" s="86"/>
      <c r="E48" s="8" t="s">
        <v>15</v>
      </c>
      <c r="F48" s="62" t="s">
        <v>14</v>
      </c>
      <c r="G48" s="61"/>
      <c r="H48" s="86" t="s">
        <v>31</v>
      </c>
      <c r="I48" s="86"/>
    </row>
    <row r="49" spans="2:14" ht="19.5" customHeight="1" x14ac:dyDescent="0.4">
      <c r="B49" s="87" t="s">
        <v>0</v>
      </c>
      <c r="C49" s="87"/>
      <c r="D49" s="26" t="s">
        <v>59</v>
      </c>
      <c r="E49" s="8" t="s">
        <v>13</v>
      </c>
      <c r="F49" s="65">
        <f>H14</f>
        <v>1207.1626965550222</v>
      </c>
      <c r="G49" s="66"/>
      <c r="H49" s="115" t="s">
        <v>120</v>
      </c>
      <c r="I49" s="115"/>
    </row>
    <row r="50" spans="2:14" ht="19.5" customHeight="1" x14ac:dyDescent="0.4">
      <c r="B50" s="87" t="s">
        <v>116</v>
      </c>
      <c r="C50" s="87"/>
      <c r="D50" s="26" t="s">
        <v>130</v>
      </c>
      <c r="E50" s="79" t="s">
        <v>114</v>
      </c>
      <c r="F50" s="60">
        <f>H45</f>
        <v>12.709878052983333</v>
      </c>
      <c r="G50" s="61"/>
      <c r="H50" s="114" t="s">
        <v>129</v>
      </c>
      <c r="I50" s="114"/>
    </row>
    <row r="51" spans="2:14" ht="19.5" customHeight="1" x14ac:dyDescent="0.4">
      <c r="B51" s="87" t="s">
        <v>118</v>
      </c>
      <c r="C51" s="87"/>
      <c r="D51" s="26" t="s">
        <v>117</v>
      </c>
      <c r="E51" s="80"/>
      <c r="F51" s="111">
        <v>20</v>
      </c>
      <c r="G51" s="112"/>
      <c r="H51" s="114" t="s">
        <v>121</v>
      </c>
      <c r="I51" s="114"/>
    </row>
    <row r="52" spans="2:14" ht="39" customHeight="1" x14ac:dyDescent="0.4">
      <c r="B52" s="117" t="s">
        <v>12</v>
      </c>
      <c r="C52" s="118"/>
      <c r="D52" s="118"/>
      <c r="E52" s="10" t="s">
        <v>16</v>
      </c>
      <c r="F52" s="63">
        <f>(F49*10^6)/(D2*L44*(F51-F50))</f>
        <v>64.809714591327392</v>
      </c>
      <c r="G52" s="64"/>
      <c r="H52" s="113" t="s">
        <v>123</v>
      </c>
      <c r="I52" s="113"/>
    </row>
    <row r="53" spans="2:14" ht="19.5" customHeight="1" x14ac:dyDescent="0.4"/>
    <row r="54" spans="2:14" ht="33" customHeight="1" x14ac:dyDescent="0.4">
      <c r="B54" s="16" t="s">
        <v>147</v>
      </c>
    </row>
    <row r="55" spans="2:14" ht="19.5" customHeight="1" x14ac:dyDescent="0.4">
      <c r="B55" s="86" t="s">
        <v>10</v>
      </c>
      <c r="C55" s="86"/>
      <c r="D55" s="86"/>
      <c r="E55" s="8" t="s">
        <v>15</v>
      </c>
      <c r="F55" s="62" t="s">
        <v>23</v>
      </c>
      <c r="G55" s="61"/>
      <c r="H55" s="7" t="s">
        <v>17</v>
      </c>
      <c r="I55" s="8" t="s">
        <v>8</v>
      </c>
    </row>
    <row r="56" spans="2:14" ht="19.5" customHeight="1" x14ac:dyDescent="0.4">
      <c r="B56" s="86" t="s">
        <v>59</v>
      </c>
      <c r="C56" s="86"/>
      <c r="D56" s="26" t="s">
        <v>18</v>
      </c>
      <c r="E56" s="109" t="s">
        <v>132</v>
      </c>
      <c r="F56" s="62" t="s">
        <v>133</v>
      </c>
      <c r="G56" s="61"/>
      <c r="H56" s="2">
        <f>H17*G2*0.587</f>
        <v>269961.3</v>
      </c>
      <c r="I56" s="15" t="s">
        <v>24</v>
      </c>
    </row>
    <row r="57" spans="2:14" s="22" customFormat="1" ht="19.5" customHeight="1" x14ac:dyDescent="0.4">
      <c r="B57" s="86"/>
      <c r="C57" s="86"/>
      <c r="D57" s="67" t="s">
        <v>131</v>
      </c>
      <c r="E57" s="93" t="s">
        <v>134</v>
      </c>
      <c r="F57" s="120" t="s">
        <v>136</v>
      </c>
      <c r="G57" s="121"/>
      <c r="H57" s="71">
        <f>H20/1000*G2*0.32</f>
        <v>4.0250447999999999</v>
      </c>
      <c r="I57" s="78" t="s">
        <v>38</v>
      </c>
      <c r="K57" s="116"/>
      <c r="L57" s="59"/>
      <c r="M57" s="24"/>
      <c r="N57" s="24"/>
    </row>
    <row r="58" spans="2:14" s="27" customFormat="1" ht="19.5" customHeight="1" x14ac:dyDescent="0.4">
      <c r="B58" s="86"/>
      <c r="C58" s="86"/>
      <c r="D58" s="68"/>
      <c r="E58" s="94"/>
      <c r="F58" s="122"/>
      <c r="G58" s="123"/>
      <c r="H58" s="72"/>
      <c r="I58" s="68"/>
      <c r="K58" s="25"/>
      <c r="L58" s="25"/>
    </row>
    <row r="59" spans="2:14" ht="19.5" customHeight="1" x14ac:dyDescent="0.4">
      <c r="B59" s="86"/>
      <c r="C59" s="86"/>
      <c r="D59" s="101" t="s">
        <v>135</v>
      </c>
      <c r="E59" s="93" t="s">
        <v>134</v>
      </c>
      <c r="F59" s="120" t="s">
        <v>137</v>
      </c>
      <c r="G59" s="121"/>
      <c r="H59" s="71">
        <f>H23/1000*G2*0.62</f>
        <v>5.7027600000000005E-2</v>
      </c>
      <c r="I59" s="78" t="s">
        <v>27</v>
      </c>
      <c r="K59" s="25"/>
      <c r="L59" s="25"/>
    </row>
    <row r="60" spans="2:14" s="24" customFormat="1" ht="19.5" customHeight="1" x14ac:dyDescent="0.4">
      <c r="B60" s="86"/>
      <c r="C60" s="86"/>
      <c r="D60" s="101"/>
      <c r="E60" s="94"/>
      <c r="F60" s="122"/>
      <c r="G60" s="123"/>
      <c r="H60" s="72"/>
      <c r="I60" s="68"/>
      <c r="K60" s="25"/>
      <c r="L60" s="25"/>
    </row>
    <row r="61" spans="2:14" s="22" customFormat="1" ht="19.5" customHeight="1" x14ac:dyDescent="0.4">
      <c r="B61" s="86"/>
      <c r="C61" s="86"/>
      <c r="D61" s="78" t="s">
        <v>138</v>
      </c>
      <c r="E61" s="93" t="s">
        <v>134</v>
      </c>
      <c r="F61" s="120" t="s">
        <v>139</v>
      </c>
      <c r="G61" s="121"/>
      <c r="H61" s="71">
        <f>H26/1000*G2*1.94</f>
        <v>0.39653600000000006</v>
      </c>
      <c r="I61" s="78" t="s">
        <v>25</v>
      </c>
      <c r="K61" s="116"/>
      <c r="L61" s="59"/>
      <c r="M61" s="24"/>
      <c r="N61" s="24"/>
    </row>
    <row r="62" spans="2:14" s="27" customFormat="1" ht="19.5" customHeight="1" x14ac:dyDescent="0.4">
      <c r="B62" s="86"/>
      <c r="C62" s="86"/>
      <c r="D62" s="68"/>
      <c r="E62" s="94"/>
      <c r="F62" s="122"/>
      <c r="G62" s="123"/>
      <c r="H62" s="72"/>
      <c r="I62" s="68"/>
      <c r="K62" s="25"/>
      <c r="L62" s="25"/>
    </row>
    <row r="63" spans="2:14" s="56" customFormat="1" ht="19.5" customHeight="1" x14ac:dyDescent="0.4">
      <c r="B63" s="86"/>
      <c r="C63" s="86"/>
      <c r="D63" s="78" t="s">
        <v>140</v>
      </c>
      <c r="E63" s="93" t="s">
        <v>134</v>
      </c>
      <c r="F63" s="120" t="s">
        <v>141</v>
      </c>
      <c r="G63" s="121"/>
      <c r="H63" s="71">
        <f>H29/1000*G2*1.94</f>
        <v>0.32714219999999999</v>
      </c>
      <c r="I63" s="78" t="s">
        <v>26</v>
      </c>
      <c r="K63" s="116"/>
      <c r="L63" s="59"/>
    </row>
    <row r="64" spans="2:14" s="56" customFormat="1" ht="19.5" customHeight="1" x14ac:dyDescent="0.4">
      <c r="B64" s="86"/>
      <c r="C64" s="86"/>
      <c r="D64" s="68"/>
      <c r="E64" s="94"/>
      <c r="F64" s="122"/>
      <c r="G64" s="123"/>
      <c r="H64" s="72"/>
      <c r="I64" s="68"/>
      <c r="K64" s="25"/>
      <c r="L64" s="25"/>
    </row>
    <row r="65" spans="2:18" s="56" customFormat="1" ht="19.5" customHeight="1" x14ac:dyDescent="0.4">
      <c r="B65" s="86"/>
      <c r="C65" s="86"/>
      <c r="D65" s="78" t="s">
        <v>142</v>
      </c>
      <c r="E65" s="93" t="s">
        <v>134</v>
      </c>
      <c r="F65" s="120" t="s">
        <v>143</v>
      </c>
      <c r="G65" s="121"/>
      <c r="H65" s="71">
        <f>(3/0.922)*D2/1000*G2*0.474</f>
        <v>3940.5748373101947</v>
      </c>
      <c r="I65" s="78" t="s">
        <v>40</v>
      </c>
      <c r="K65" s="116"/>
      <c r="L65" s="59"/>
    </row>
    <row r="66" spans="2:18" s="56" customFormat="1" ht="19.5" customHeight="1" x14ac:dyDescent="0.4">
      <c r="B66" s="86"/>
      <c r="C66" s="86"/>
      <c r="D66" s="68"/>
      <c r="E66" s="94"/>
      <c r="F66" s="122"/>
      <c r="G66" s="123"/>
      <c r="H66" s="72"/>
      <c r="I66" s="68"/>
      <c r="K66" s="25"/>
      <c r="L66" s="25"/>
    </row>
    <row r="67" spans="2:18" s="56" customFormat="1" ht="19.5" customHeight="1" x14ac:dyDescent="0.4">
      <c r="B67" s="86"/>
      <c r="C67" s="86"/>
      <c r="D67" s="78" t="s">
        <v>144</v>
      </c>
      <c r="E67" s="93" t="s">
        <v>134</v>
      </c>
      <c r="F67" s="120" t="s">
        <v>145</v>
      </c>
      <c r="G67" s="121"/>
      <c r="H67" s="71">
        <f>H37*G2*28.5</f>
        <v>1184.6664859002169</v>
      </c>
      <c r="I67" s="78" t="s">
        <v>39</v>
      </c>
      <c r="K67" s="116"/>
      <c r="L67" s="59"/>
    </row>
    <row r="68" spans="2:18" s="56" customFormat="1" ht="19.5" customHeight="1" x14ac:dyDescent="0.4">
      <c r="B68" s="86"/>
      <c r="C68" s="86"/>
      <c r="D68" s="68"/>
      <c r="E68" s="94"/>
      <c r="F68" s="122"/>
      <c r="G68" s="123"/>
      <c r="H68" s="72"/>
      <c r="I68" s="68"/>
    </row>
    <row r="69" spans="2:18" ht="19.5" customHeight="1" x14ac:dyDescent="0.4">
      <c r="B69" s="86"/>
      <c r="C69" s="86"/>
      <c r="D69" s="17" t="s">
        <v>1</v>
      </c>
      <c r="E69" s="109" t="s">
        <v>132</v>
      </c>
      <c r="F69" s="62" t="s">
        <v>32</v>
      </c>
      <c r="G69" s="61"/>
      <c r="H69" s="124">
        <f>H56+H57+H59+H61+H63+H65+H67</f>
        <v>275091.34707381047</v>
      </c>
      <c r="I69" s="49" t="s">
        <v>146</v>
      </c>
      <c r="Q69" s="4"/>
      <c r="R69" s="1"/>
    </row>
  </sheetData>
  <mergeCells count="139">
    <mergeCell ref="D67:D68"/>
    <mergeCell ref="E67:E68"/>
    <mergeCell ref="F67:G68"/>
    <mergeCell ref="H67:H68"/>
    <mergeCell ref="I67:I68"/>
    <mergeCell ref="B56:C69"/>
    <mergeCell ref="D63:D64"/>
    <mergeCell ref="E63:E64"/>
    <mergeCell ref="F63:G64"/>
    <mergeCell ref="H63:H64"/>
    <mergeCell ref="I63:I64"/>
    <mergeCell ref="D65:D66"/>
    <mergeCell ref="E65:E66"/>
    <mergeCell ref="F65:G66"/>
    <mergeCell ref="H65:H66"/>
    <mergeCell ref="I65:I66"/>
    <mergeCell ref="D37:D39"/>
    <mergeCell ref="F37:G37"/>
    <mergeCell ref="H52:I52"/>
    <mergeCell ref="H51:I51"/>
    <mergeCell ref="H50:I50"/>
    <mergeCell ref="H49:I49"/>
    <mergeCell ref="H48:I48"/>
    <mergeCell ref="B44:C45"/>
    <mergeCell ref="F44:G44"/>
    <mergeCell ref="F33:G33"/>
    <mergeCell ref="D34:D36"/>
    <mergeCell ref="F34:G34"/>
    <mergeCell ref="O34:P34"/>
    <mergeCell ref="E35:E36"/>
    <mergeCell ref="F35:G36"/>
    <mergeCell ref="H35:H36"/>
    <mergeCell ref="I35:I36"/>
    <mergeCell ref="O36:P36"/>
    <mergeCell ref="D26:D28"/>
    <mergeCell ref="F26:G26"/>
    <mergeCell ref="O26:P26"/>
    <mergeCell ref="E27:E28"/>
    <mergeCell ref="F27:G28"/>
    <mergeCell ref="H27:H28"/>
    <mergeCell ref="I27:I28"/>
    <mergeCell ref="O28:P28"/>
    <mergeCell ref="D29:D31"/>
    <mergeCell ref="O29:P29"/>
    <mergeCell ref="E30:E31"/>
    <mergeCell ref="F30:G31"/>
    <mergeCell ref="H30:H31"/>
    <mergeCell ref="I30:I31"/>
    <mergeCell ref="O31:P31"/>
    <mergeCell ref="F55:G55"/>
    <mergeCell ref="F56:G56"/>
    <mergeCell ref="H61:H62"/>
    <mergeCell ref="F57:G58"/>
    <mergeCell ref="H57:H58"/>
    <mergeCell ref="D23:D25"/>
    <mergeCell ref="F32:G32"/>
    <mergeCell ref="F40:G40"/>
    <mergeCell ref="F29:G29"/>
    <mergeCell ref="D17:D19"/>
    <mergeCell ref="E38:E39"/>
    <mergeCell ref="F38:G39"/>
    <mergeCell ref="H38:H39"/>
    <mergeCell ref="E18:E19"/>
    <mergeCell ref="F18:G19"/>
    <mergeCell ref="H18:H19"/>
    <mergeCell ref="F17:G17"/>
    <mergeCell ref="B3:C3"/>
    <mergeCell ref="B4:C4"/>
    <mergeCell ref="B5:C5"/>
    <mergeCell ref="B6:C6"/>
    <mergeCell ref="E50:E51"/>
    <mergeCell ref="B51:C51"/>
    <mergeCell ref="B11:B43"/>
    <mergeCell ref="B52:D52"/>
    <mergeCell ref="C41:D41"/>
    <mergeCell ref="C43:D43"/>
    <mergeCell ref="B48:D48"/>
    <mergeCell ref="B49:C49"/>
    <mergeCell ref="E21:E22"/>
    <mergeCell ref="E24:E25"/>
    <mergeCell ref="D61:D62"/>
    <mergeCell ref="E61:E62"/>
    <mergeCell ref="F61:G62"/>
    <mergeCell ref="B2:C2"/>
    <mergeCell ref="F10:G10"/>
    <mergeCell ref="F11:G11"/>
    <mergeCell ref="F12:G12"/>
    <mergeCell ref="F13:G13"/>
    <mergeCell ref="F14:G14"/>
    <mergeCell ref="F20:G20"/>
    <mergeCell ref="F21:G22"/>
    <mergeCell ref="F24:G25"/>
    <mergeCell ref="B55:D55"/>
    <mergeCell ref="D59:D60"/>
    <mergeCell ref="F69:G69"/>
    <mergeCell ref="I59:I60"/>
    <mergeCell ref="I61:I62"/>
    <mergeCell ref="E57:E58"/>
    <mergeCell ref="D57:D58"/>
    <mergeCell ref="I57:I58"/>
    <mergeCell ref="E59:E60"/>
    <mergeCell ref="F59:G60"/>
    <mergeCell ref="H59:H60"/>
    <mergeCell ref="B50:C50"/>
    <mergeCell ref="C42:D42"/>
    <mergeCell ref="O37:P37"/>
    <mergeCell ref="O39:P39"/>
    <mergeCell ref="D20:D22"/>
    <mergeCell ref="O20:P20"/>
    <mergeCell ref="O22:P22"/>
    <mergeCell ref="C11:C40"/>
    <mergeCell ref="O25:P25"/>
    <mergeCell ref="O14:P14"/>
    <mergeCell ref="D15:D16"/>
    <mergeCell ref="E15:E16"/>
    <mergeCell ref="F15:G16"/>
    <mergeCell ref="Q3:R3"/>
    <mergeCell ref="S3:T3"/>
    <mergeCell ref="O16:P16"/>
    <mergeCell ref="I21:I22"/>
    <mergeCell ref="I24:I25"/>
    <mergeCell ref="H15:H16"/>
    <mergeCell ref="I15:I16"/>
    <mergeCell ref="K13:L13"/>
    <mergeCell ref="F23:G23"/>
    <mergeCell ref="I38:I39"/>
    <mergeCell ref="I18:I19"/>
    <mergeCell ref="O23:P23"/>
    <mergeCell ref="H21:H22"/>
    <mergeCell ref="H24:H25"/>
    <mergeCell ref="F50:G50"/>
    <mergeCell ref="F41:G41"/>
    <mergeCell ref="F42:G42"/>
    <mergeCell ref="F51:G51"/>
    <mergeCell ref="F52:G52"/>
    <mergeCell ref="F45:G45"/>
    <mergeCell ref="F48:G48"/>
    <mergeCell ref="F49:G49"/>
    <mergeCell ref="F43:G43"/>
  </mergeCells>
  <phoneticPr fontI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試算シート</vt:lpstr>
      <vt:lpstr>試算シート!Print_Area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vwjpcadmin</cp:lastModifiedBy>
  <cp:lastPrinted>2019-09-12T23:44:42Z</cp:lastPrinted>
  <dcterms:created xsi:type="dcterms:W3CDTF">2019-06-12T01:14:22Z</dcterms:created>
  <dcterms:modified xsi:type="dcterms:W3CDTF">2020-09-03T05:00:29Z</dcterms:modified>
</cp:coreProperties>
</file>