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C:\Users\10113625\Downloads\OneDrive_2_2020-9-8\"/>
    </mc:Choice>
  </mc:AlternateContent>
  <xr:revisionPtr revIDLastSave="0" documentId="13_ncr:1_{B93A6AF5-98CF-4492-B869-54A8BDB3FF0B}" xr6:coauthVersionLast="45" xr6:coauthVersionMax="45" xr10:uidLastSave="{00000000-0000-0000-0000-000000000000}"/>
  <bookViews>
    <workbookView xWindow="5445" yWindow="1515" windowWidth="21600" windowHeight="13770" xr2:uid="{00000000-000D-0000-FFFF-FFFF00000000}"/>
  </bookViews>
  <sheets>
    <sheet name="試算シート_ICTを活用した効率的な硝化制御技術" sheetId="6" r:id="rId1"/>
    <sheet name="試算シート_記載例" sheetId="3" r:id="rId2"/>
  </sheets>
  <definedNames>
    <definedName name="_xlnm.Print_Area" localSheetId="1">試算シート_記載例!$A$1:$M$97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6" l="1"/>
  <c r="G23" i="6" l="1"/>
  <c r="G19" i="6"/>
  <c r="G30" i="6"/>
  <c r="G22" i="6"/>
  <c r="G24" i="6" s="1"/>
  <c r="G31" i="6" s="1"/>
  <c r="G32" i="6" s="1"/>
  <c r="G33" i="6" s="1"/>
  <c r="G20" i="6"/>
  <c r="G25" i="6" l="1"/>
  <c r="G26" i="6" s="1"/>
  <c r="H44" i="3" l="1"/>
  <c r="H41" i="3" l="1"/>
  <c r="H25" i="3" l="1"/>
  <c r="H23" i="3"/>
  <c r="H22" i="3"/>
  <c r="H73" i="3" l="1"/>
  <c r="H50" i="3"/>
  <c r="H24" i="3"/>
  <c r="H12" i="3"/>
  <c r="L7" i="3" l="1"/>
  <c r="J7" i="3"/>
  <c r="L6" i="3"/>
  <c r="J6" i="3"/>
  <c r="H33" i="3" s="1"/>
  <c r="H36" i="3" s="1"/>
  <c r="K7" i="3" l="1"/>
  <c r="K6" i="3"/>
  <c r="L39" i="3"/>
  <c r="L43" i="3"/>
  <c r="L46" i="3"/>
  <c r="L77" i="3"/>
  <c r="L90" i="3"/>
  <c r="H90" i="3" s="1"/>
  <c r="L83" i="3"/>
  <c r="H83" i="3" s="1"/>
  <c r="L74" i="3"/>
  <c r="L70" i="3"/>
  <c r="H71" i="3" s="1"/>
  <c r="L53" i="3"/>
  <c r="L51" i="3"/>
  <c r="H51" i="3" s="1"/>
  <c r="L45" i="3"/>
  <c r="L42" i="3"/>
  <c r="L37" i="3"/>
  <c r="H92" i="3" l="1"/>
  <c r="H94" i="3" s="1"/>
  <c r="H75" i="3"/>
  <c r="H85" i="3"/>
  <c r="H70" i="3" l="1"/>
  <c r="H72" i="3" s="1"/>
  <c r="H82" i="3" s="1"/>
  <c r="H53" i="3"/>
  <c r="H87" i="3" l="1"/>
  <c r="H88" i="3" s="1"/>
  <c r="H49" i="3"/>
  <c r="H45" i="3"/>
  <c r="H42" i="3"/>
  <c r="H77" i="3"/>
  <c r="H29" i="3"/>
  <c r="H31" i="3" s="1"/>
  <c r="H18" i="3"/>
  <c r="H14" i="3"/>
  <c r="H13" i="3"/>
  <c r="H16" i="3"/>
  <c r="F64" i="3" l="1"/>
  <c r="H27" i="3"/>
  <c r="H74" i="3"/>
  <c r="H76" i="3" s="1"/>
  <c r="H78" i="3" s="1"/>
  <c r="H37" i="3"/>
  <c r="H95" i="3" s="1"/>
  <c r="H55" i="3"/>
  <c r="H15" i="3"/>
  <c r="H39" i="3" l="1"/>
  <c r="F65" i="3" s="1"/>
  <c r="H89" i="3"/>
  <c r="H96" i="3" s="1"/>
  <c r="H97" i="3" s="1"/>
  <c r="H56" i="3"/>
  <c r="H48" i="3" l="1"/>
  <c r="H57" i="3" s="1"/>
  <c r="H58" i="3" s="1"/>
  <c r="H20" i="3"/>
  <c r="H26" i="3"/>
  <c r="F63" i="3" s="1"/>
  <c r="F66" i="3" s="1"/>
  <c r="H59" i="3" l="1"/>
</calcChain>
</file>

<file path=xl/sharedStrings.xml><?xml version="1.0" encoding="utf-8"?>
<sst xmlns="http://schemas.openxmlformats.org/spreadsheetml/2006/main" count="411" uniqueCount="285">
  <si>
    <t>建設費</t>
    <rPh sb="0" eb="3">
      <t>ケンセツヒ</t>
    </rPh>
    <phoneticPr fontId="1"/>
  </si>
  <si>
    <t>従来技術</t>
    <rPh sb="0" eb="2">
      <t>ジュウライ</t>
    </rPh>
    <rPh sb="2" eb="4">
      <t>ギジュツ</t>
    </rPh>
    <phoneticPr fontId="1"/>
  </si>
  <si>
    <t>機械建設費</t>
    <rPh sb="0" eb="2">
      <t>キカイ</t>
    </rPh>
    <rPh sb="2" eb="5">
      <t>ケンセツヒ</t>
    </rPh>
    <phoneticPr fontId="1"/>
  </si>
  <si>
    <t>電気建設費</t>
    <rPh sb="0" eb="2">
      <t>デンキ</t>
    </rPh>
    <rPh sb="2" eb="5">
      <t>ケンセツヒ</t>
    </rPh>
    <phoneticPr fontId="1"/>
  </si>
  <si>
    <t>維持管理費</t>
    <rPh sb="0" eb="2">
      <t>イジ</t>
    </rPh>
    <rPh sb="2" eb="5">
      <t>カンリヒ</t>
    </rPh>
    <phoneticPr fontId="1"/>
  </si>
  <si>
    <t>合計</t>
    <rPh sb="0" eb="2">
      <t>ゴウケイ</t>
    </rPh>
    <phoneticPr fontId="1"/>
  </si>
  <si>
    <t>建設費年価</t>
    <rPh sb="0" eb="3">
      <t>ケンセツヒ</t>
    </rPh>
    <rPh sb="3" eb="4">
      <t>ネン</t>
    </rPh>
    <rPh sb="4" eb="5">
      <t>カ</t>
    </rPh>
    <phoneticPr fontId="1"/>
  </si>
  <si>
    <t>革新的技術</t>
    <rPh sb="0" eb="3">
      <t>カクシンテキ</t>
    </rPh>
    <rPh sb="3" eb="5">
      <t>ギジュツ</t>
    </rPh>
    <phoneticPr fontId="1"/>
  </si>
  <si>
    <t>土木設備</t>
    <rPh sb="0" eb="2">
      <t>ドボク</t>
    </rPh>
    <rPh sb="2" eb="4">
      <t>セツビ</t>
    </rPh>
    <phoneticPr fontId="1"/>
  </si>
  <si>
    <t>発電設備</t>
    <rPh sb="0" eb="2">
      <t>ハツデン</t>
    </rPh>
    <rPh sb="2" eb="4">
      <t>セツビ</t>
    </rPh>
    <phoneticPr fontId="1"/>
  </si>
  <si>
    <t>局所攪拌空気吹込み設備</t>
    <rPh sb="0" eb="2">
      <t>キョクショ</t>
    </rPh>
    <rPh sb="2" eb="4">
      <t>カクハン</t>
    </rPh>
    <rPh sb="4" eb="6">
      <t>クウキ</t>
    </rPh>
    <rPh sb="6" eb="8">
      <t>フキコミ</t>
    </rPh>
    <rPh sb="9" eb="11">
      <t>セツビ</t>
    </rPh>
    <phoneticPr fontId="1"/>
  </si>
  <si>
    <t>電気設備</t>
    <rPh sb="0" eb="2">
      <t>デンキ</t>
    </rPh>
    <rPh sb="2" eb="4">
      <t>セツビ</t>
    </rPh>
    <phoneticPr fontId="1"/>
  </si>
  <si>
    <t>維持管理費合計</t>
    <rPh sb="0" eb="2">
      <t>イジ</t>
    </rPh>
    <rPh sb="2" eb="5">
      <t>カンリヒ</t>
    </rPh>
    <rPh sb="5" eb="7">
      <t>ゴウケイ</t>
    </rPh>
    <phoneticPr fontId="1"/>
  </si>
  <si>
    <t>建設費合計</t>
    <rPh sb="0" eb="3">
      <t>ケンセツヒ</t>
    </rPh>
    <rPh sb="3" eb="5">
      <t>ゴウケイ</t>
    </rPh>
    <phoneticPr fontId="1"/>
  </si>
  <si>
    <t>発電、局所攪拌設備</t>
    <rPh sb="0" eb="2">
      <t>ハツデン</t>
    </rPh>
    <rPh sb="3" eb="5">
      <t>キョクショ</t>
    </rPh>
    <rPh sb="5" eb="7">
      <t>カクハン</t>
    </rPh>
    <rPh sb="7" eb="9">
      <t>セツビ</t>
    </rPh>
    <phoneticPr fontId="1"/>
  </si>
  <si>
    <t>費用（百万円）</t>
    <rPh sb="0" eb="2">
      <t>ヒヨウ</t>
    </rPh>
    <rPh sb="3" eb="5">
      <t>ヒャクマン</t>
    </rPh>
    <rPh sb="5" eb="6">
      <t>エン</t>
    </rPh>
    <phoneticPr fontId="1"/>
  </si>
  <si>
    <t>その他導入効果合計</t>
    <rPh sb="2" eb="3">
      <t>タ</t>
    </rPh>
    <rPh sb="3" eb="5">
      <t>ドウニュウ</t>
    </rPh>
    <rPh sb="5" eb="7">
      <t>コウカ</t>
    </rPh>
    <rPh sb="7" eb="9">
      <t>ゴウケイ</t>
    </rPh>
    <phoneticPr fontId="1"/>
  </si>
  <si>
    <t>焼却設備</t>
    <rPh sb="0" eb="2">
      <t>ショウキャク</t>
    </rPh>
    <rPh sb="2" eb="4">
      <t>セツビ</t>
    </rPh>
    <phoneticPr fontId="1"/>
  </si>
  <si>
    <t>備考</t>
    <rPh sb="0" eb="2">
      <t>ビコウ</t>
    </rPh>
    <phoneticPr fontId="1"/>
  </si>
  <si>
    <t>技術区分</t>
    <rPh sb="0" eb="2">
      <t>ギジュツ</t>
    </rPh>
    <rPh sb="2" eb="4">
      <t>クブン</t>
    </rPh>
    <phoneticPr fontId="1"/>
  </si>
  <si>
    <t>項目</t>
    <rPh sb="0" eb="2">
      <t>コウモク</t>
    </rPh>
    <phoneticPr fontId="1"/>
  </si>
  <si>
    <t>設備名称</t>
    <rPh sb="0" eb="2">
      <t>セツビ</t>
    </rPh>
    <rPh sb="2" eb="4">
      <t>メイショウ</t>
    </rPh>
    <phoneticPr fontId="1"/>
  </si>
  <si>
    <t>費用回収年</t>
    <rPh sb="0" eb="2">
      <t>ヒヨウ</t>
    </rPh>
    <rPh sb="2" eb="4">
      <t>カイシュウ</t>
    </rPh>
    <rPh sb="4" eb="5">
      <t>ネン</t>
    </rPh>
    <phoneticPr fontId="1"/>
  </si>
  <si>
    <t>導入効果</t>
    <rPh sb="0" eb="2">
      <t>ドウニュウ</t>
    </rPh>
    <rPh sb="2" eb="4">
      <t>コウカ</t>
    </rPh>
    <phoneticPr fontId="1"/>
  </si>
  <si>
    <t>革新的技術の維持管理費</t>
    <rPh sb="0" eb="2">
      <t>カクシン</t>
    </rPh>
    <rPh sb="2" eb="3">
      <t>テキ</t>
    </rPh>
    <rPh sb="3" eb="5">
      <t>ギジュツ</t>
    </rPh>
    <rPh sb="6" eb="8">
      <t>イジ</t>
    </rPh>
    <rPh sb="8" eb="11">
      <t>カンリヒ</t>
    </rPh>
    <phoneticPr fontId="1"/>
  </si>
  <si>
    <t>百万円</t>
    <rPh sb="0" eb="1">
      <t>ヒャク</t>
    </rPh>
    <rPh sb="1" eb="3">
      <t>マンエン</t>
    </rPh>
    <phoneticPr fontId="1"/>
  </si>
  <si>
    <t>百万円/年</t>
    <rPh sb="0" eb="1">
      <t>ヒャク</t>
    </rPh>
    <rPh sb="1" eb="3">
      <t>マンエン</t>
    </rPh>
    <rPh sb="4" eb="5">
      <t>ネン</t>
    </rPh>
    <phoneticPr fontId="1"/>
  </si>
  <si>
    <t>費用</t>
    <rPh sb="0" eb="2">
      <t>ヒヨウ</t>
    </rPh>
    <phoneticPr fontId="1"/>
  </si>
  <si>
    <t>単位</t>
    <rPh sb="0" eb="2">
      <t>タンイ</t>
    </rPh>
    <phoneticPr fontId="1"/>
  </si>
  <si>
    <t>年</t>
    <rPh sb="0" eb="1">
      <t>ネン</t>
    </rPh>
    <phoneticPr fontId="1"/>
  </si>
  <si>
    <t>エネルギー削減効果</t>
    <rPh sb="5" eb="7">
      <t>サクゲン</t>
    </rPh>
    <rPh sb="7" eb="9">
      <t>コウカ</t>
    </rPh>
    <phoneticPr fontId="1"/>
  </si>
  <si>
    <t>消費電力量</t>
    <rPh sb="0" eb="2">
      <t>ショウヒ</t>
    </rPh>
    <rPh sb="2" eb="4">
      <t>デンリョク</t>
    </rPh>
    <rPh sb="4" eb="5">
      <t>リョウ</t>
    </rPh>
    <phoneticPr fontId="1"/>
  </si>
  <si>
    <t>エネルギー創出量</t>
    <rPh sb="5" eb="7">
      <t>ソウシュツ</t>
    </rPh>
    <phoneticPr fontId="1"/>
  </si>
  <si>
    <t>温室効果ガス削減効果</t>
    <rPh sb="0" eb="2">
      <t>オンシツ</t>
    </rPh>
    <rPh sb="2" eb="4">
      <t>コウカ</t>
    </rPh>
    <rPh sb="6" eb="8">
      <t>サクゲン</t>
    </rPh>
    <rPh sb="8" eb="10">
      <t>コウカ</t>
    </rPh>
    <phoneticPr fontId="1"/>
  </si>
  <si>
    <t>GHG排出量</t>
    <rPh sb="3" eb="6">
      <t>ハイシュツリョウ</t>
    </rPh>
    <phoneticPr fontId="1"/>
  </si>
  <si>
    <t>消費電力由来GHG排出量</t>
    <rPh sb="0" eb="2">
      <t>ショウヒ</t>
    </rPh>
    <rPh sb="2" eb="4">
      <t>デンリョク</t>
    </rPh>
    <rPh sb="4" eb="6">
      <t>ユライ</t>
    </rPh>
    <rPh sb="9" eb="12">
      <t>ハイシュツリョウ</t>
    </rPh>
    <phoneticPr fontId="1"/>
  </si>
  <si>
    <t>発電によるGHG排出削減量</t>
    <rPh sb="0" eb="2">
      <t>ハツデン</t>
    </rPh>
    <rPh sb="8" eb="10">
      <t>ハイシュツ</t>
    </rPh>
    <rPh sb="10" eb="13">
      <t>サクゲンリョウ</t>
    </rPh>
    <phoneticPr fontId="1"/>
  </si>
  <si>
    <t>百万円</t>
    <rPh sb="0" eb="2">
      <t>ヒャクマン</t>
    </rPh>
    <rPh sb="2" eb="3">
      <t>エン</t>
    </rPh>
    <phoneticPr fontId="1"/>
  </si>
  <si>
    <t>百万円/年</t>
    <rPh sb="0" eb="2">
      <t>ヒャクマン</t>
    </rPh>
    <rPh sb="2" eb="3">
      <t>エン</t>
    </rPh>
    <rPh sb="4" eb="5">
      <t>ネン</t>
    </rPh>
    <phoneticPr fontId="1"/>
  </si>
  <si>
    <t>費用関数</t>
    <rPh sb="0" eb="2">
      <t>ヒヨウ</t>
    </rPh>
    <rPh sb="2" eb="4">
      <t>カンスウ</t>
    </rPh>
    <phoneticPr fontId="1"/>
  </si>
  <si>
    <t>ー</t>
    <phoneticPr fontId="1"/>
  </si>
  <si>
    <t>固定値</t>
    <rPh sb="0" eb="3">
      <t>コテイチ</t>
    </rPh>
    <phoneticPr fontId="1"/>
  </si>
  <si>
    <t>千kWh/年</t>
    <rPh sb="0" eb="1">
      <t>セン</t>
    </rPh>
    <rPh sb="5" eb="6">
      <t>ネン</t>
    </rPh>
    <phoneticPr fontId="1"/>
  </si>
  <si>
    <t>備考</t>
    <phoneticPr fontId="1"/>
  </si>
  <si>
    <t>費用関数</t>
    <phoneticPr fontId="1"/>
  </si>
  <si>
    <t>X：汚泥投入量（wet-t/日）</t>
    <phoneticPr fontId="1"/>
  </si>
  <si>
    <t>①</t>
    <phoneticPr fontId="1"/>
  </si>
  <si>
    <t>④</t>
    <phoneticPr fontId="1"/>
  </si>
  <si>
    <t>⑤</t>
    <phoneticPr fontId="1"/>
  </si>
  <si>
    <t>③</t>
    <phoneticPr fontId="1"/>
  </si>
  <si>
    <r>
      <t>t-CO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/年</t>
    </r>
    <rPh sb="6" eb="7">
      <t>ネン</t>
    </rPh>
    <phoneticPr fontId="1"/>
  </si>
  <si>
    <t>電力</t>
    <rPh sb="0" eb="2">
      <t>デンリョク</t>
    </rPh>
    <phoneticPr fontId="1"/>
  </si>
  <si>
    <t>②</t>
    <phoneticPr fontId="1"/>
  </si>
  <si>
    <t>④：①＋②＋③</t>
    <phoneticPr fontId="1"/>
  </si>
  <si>
    <t>a：⑤＋⑥</t>
    <phoneticPr fontId="1"/>
  </si>
  <si>
    <t>⑪：⑦＋⑧＋⑨＋⑩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</si>
  <si>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</si>
  <si>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</si>
  <si>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</si>
  <si>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</si>
  <si>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</si>
  <si>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⑱：⑬＋⑭＋⑮＋⑯＋⑰</t>
    <phoneticPr fontId="1"/>
  </si>
  <si>
    <t>㉑</t>
    <phoneticPr fontId="1"/>
  </si>
  <si>
    <t>㉒：⑲＋⑳＋㉑</t>
    <phoneticPr fontId="1"/>
  </si>
  <si>
    <t>㉓：⑤＋⑫</t>
    <phoneticPr fontId="1"/>
  </si>
  <si>
    <t>㉔：⑥＋⑱＋㉒</t>
    <phoneticPr fontId="1"/>
  </si>
  <si>
    <t>b：㉓＋㉔</t>
    <phoneticPr fontId="1"/>
  </si>
  <si>
    <t>備考</t>
    <rPh sb="0" eb="2">
      <t>ビコウ</t>
    </rPh>
    <phoneticPr fontId="1"/>
  </si>
  <si>
    <t>a：⑪</t>
    <phoneticPr fontId="1"/>
  </si>
  <si>
    <t>b：⑮＋⑯＋⑰</t>
    <phoneticPr fontId="1"/>
  </si>
  <si>
    <t>c：⑬＋⑭＋⑲＋⑳＋㉑</t>
    <phoneticPr fontId="1"/>
  </si>
  <si>
    <t xml:space="preserve"> -a/(c+b）</t>
    <phoneticPr fontId="1"/>
  </si>
  <si>
    <t>％</t>
    <phoneticPr fontId="1"/>
  </si>
  <si>
    <t>ー</t>
    <phoneticPr fontId="1"/>
  </si>
  <si>
    <t>(1-b/a)×100</t>
    <phoneticPr fontId="1"/>
  </si>
  <si>
    <t>ー</t>
    <phoneticPr fontId="1"/>
  </si>
  <si>
    <t>総費用（年価換算値）削減効果</t>
    <rPh sb="0" eb="3">
      <t>ソウヒヨウ</t>
    </rPh>
    <rPh sb="4" eb="6">
      <t>ネンカ</t>
    </rPh>
    <rPh sb="6" eb="8">
      <t>カンサン</t>
    </rPh>
    <rPh sb="8" eb="9">
      <t>チ</t>
    </rPh>
    <rPh sb="10" eb="12">
      <t>サクゲン</t>
    </rPh>
    <rPh sb="12" eb="14">
      <t>コウカ</t>
    </rPh>
    <phoneticPr fontId="1"/>
  </si>
  <si>
    <t>含水率</t>
    <rPh sb="0" eb="3">
      <t>ガンスイリツ</t>
    </rPh>
    <phoneticPr fontId="1"/>
  </si>
  <si>
    <t>諸元値一覧</t>
    <rPh sb="0" eb="2">
      <t>ショゲン</t>
    </rPh>
    <rPh sb="2" eb="3">
      <t>チ</t>
    </rPh>
    <rPh sb="3" eb="5">
      <t>イチラン</t>
    </rPh>
    <phoneticPr fontId="1"/>
  </si>
  <si>
    <t>合計</t>
    <rPh sb="0" eb="2">
      <t>ゴウケイ</t>
    </rPh>
    <phoneticPr fontId="1"/>
  </si>
  <si>
    <t>補助燃料由来GHG排出量</t>
    <rPh sb="0" eb="2">
      <t>ホジョ</t>
    </rPh>
    <rPh sb="2" eb="4">
      <t>ネンリョウ</t>
    </rPh>
    <rPh sb="4" eb="6">
      <t>ユライ</t>
    </rPh>
    <rPh sb="9" eb="11">
      <t>ハイシュツ</t>
    </rPh>
    <rPh sb="11" eb="12">
      <t>リョウ</t>
    </rPh>
    <phoneticPr fontId="1"/>
  </si>
  <si>
    <t>都市ガス</t>
    <rPh sb="0" eb="2">
      <t>トシ</t>
    </rPh>
    <phoneticPr fontId="1"/>
  </si>
  <si>
    <t>灯油</t>
    <rPh sb="0" eb="2">
      <t>トウユ</t>
    </rPh>
    <phoneticPr fontId="1"/>
  </si>
  <si>
    <t>消化ガス</t>
    <rPh sb="0" eb="2">
      <t>ショウカ</t>
    </rPh>
    <phoneticPr fontId="1"/>
  </si>
  <si>
    <t>エネルギー換算係数</t>
    <rPh sb="5" eb="7">
      <t>カンサン</t>
    </rPh>
    <rPh sb="7" eb="9">
      <t>ケイスウ</t>
    </rPh>
    <phoneticPr fontId="1"/>
  </si>
  <si>
    <t>温室効果ガス換算係数</t>
    <rPh sb="0" eb="2">
      <t>オンシツ</t>
    </rPh>
    <rPh sb="2" eb="4">
      <t>コウカ</t>
    </rPh>
    <rPh sb="6" eb="8">
      <t>カンサン</t>
    </rPh>
    <rPh sb="8" eb="10">
      <t>ケイスウ</t>
    </rPh>
    <phoneticPr fontId="1"/>
  </si>
  <si>
    <t>MJ/L</t>
    <phoneticPr fontId="1"/>
  </si>
  <si>
    <t>②</t>
    <phoneticPr fontId="1"/>
  </si>
  <si>
    <t>⑤</t>
    <phoneticPr fontId="1"/>
  </si>
  <si>
    <t>⑦</t>
    <phoneticPr fontId="1"/>
  </si>
  <si>
    <t>④：①＋②+③</t>
    <phoneticPr fontId="1"/>
  </si>
  <si>
    <t>⑥</t>
    <phoneticPr fontId="1"/>
  </si>
  <si>
    <t>⑦</t>
    <phoneticPr fontId="1"/>
  </si>
  <si>
    <t>⑧</t>
    <phoneticPr fontId="1"/>
  </si>
  <si>
    <t>⑨：⑤＋⑥＋⑦＋⑧</t>
    <phoneticPr fontId="1"/>
  </si>
  <si>
    <r>
      <t>Y=1.888Xd</t>
    </r>
    <r>
      <rPr>
        <vertAlign val="superscript"/>
        <sz val="11"/>
        <color theme="1"/>
        <rFont val="游ゴシック"/>
        <family val="3"/>
        <charset val="128"/>
        <scheme val="minor"/>
      </rPr>
      <t>0.597</t>
    </r>
    <r>
      <rPr>
        <sz val="11"/>
        <color theme="1"/>
        <rFont val="游ゴシック"/>
        <family val="3"/>
        <charset val="128"/>
        <scheme val="minor"/>
      </rPr>
      <t>×100</t>
    </r>
    <phoneticPr fontId="1"/>
  </si>
  <si>
    <r>
      <t>Y=0.726Xd</t>
    </r>
    <r>
      <rPr>
        <vertAlign val="superscript"/>
        <sz val="11"/>
        <color theme="1"/>
        <rFont val="游ゴシック"/>
        <family val="3"/>
        <charset val="128"/>
        <scheme val="minor"/>
      </rPr>
      <t>0.539</t>
    </r>
    <r>
      <rPr>
        <sz val="11"/>
        <color theme="1"/>
        <rFont val="游ゴシック"/>
        <family val="3"/>
        <charset val="128"/>
        <scheme val="minor"/>
      </rPr>
      <t>×100</t>
    </r>
    <phoneticPr fontId="1"/>
  </si>
  <si>
    <r>
      <t>Y</t>
    </r>
    <r>
      <rPr>
        <sz val="11"/>
        <color theme="1"/>
        <rFont val="游ゴシック"/>
        <family val="2"/>
        <charset val="128"/>
        <scheme val="minor"/>
      </rPr>
      <t>=0.287Xy</t>
    </r>
    <r>
      <rPr>
        <vertAlign val="superscript"/>
        <sz val="11"/>
        <color theme="1"/>
        <rFont val="游ゴシック"/>
        <family val="3"/>
        <charset val="128"/>
        <scheme val="minor"/>
      </rPr>
      <t>0.673</t>
    </r>
    <phoneticPr fontId="1"/>
  </si>
  <si>
    <r>
      <t>Y=0.131X</t>
    </r>
    <r>
      <rPr>
        <vertAlign val="superscript"/>
        <sz val="11"/>
        <color theme="1"/>
        <rFont val="游ゴシック"/>
        <family val="3"/>
        <charset val="128"/>
        <scheme val="minor"/>
      </rPr>
      <t>0.7</t>
    </r>
    <phoneticPr fontId="1"/>
  </si>
  <si>
    <t>機械設備</t>
    <rPh sb="0" eb="2">
      <t>キカイ</t>
    </rPh>
    <rPh sb="2" eb="4">
      <t>セツビ</t>
    </rPh>
    <phoneticPr fontId="1"/>
  </si>
  <si>
    <t>電気設備</t>
    <rPh sb="0" eb="2">
      <t>デンキ</t>
    </rPh>
    <rPh sb="2" eb="4">
      <t>セツビ</t>
    </rPh>
    <phoneticPr fontId="1"/>
  </si>
  <si>
    <t>土木建築施設</t>
    <rPh sb="0" eb="2">
      <t>ドボク</t>
    </rPh>
    <rPh sb="2" eb="4">
      <t>ケンチク</t>
    </rPh>
    <rPh sb="4" eb="6">
      <t>シセツ</t>
    </rPh>
    <phoneticPr fontId="1"/>
  </si>
  <si>
    <t>土木設備</t>
    <rPh sb="0" eb="2">
      <t>ドボク</t>
    </rPh>
    <rPh sb="2" eb="4">
      <t>セツビ</t>
    </rPh>
    <phoneticPr fontId="1"/>
  </si>
  <si>
    <t>発電設備</t>
    <rPh sb="0" eb="2">
      <t>ハツデン</t>
    </rPh>
    <rPh sb="2" eb="4">
      <t>セツビ</t>
    </rPh>
    <phoneticPr fontId="1"/>
  </si>
  <si>
    <t>局所攪拌空気吹込み設備</t>
    <rPh sb="0" eb="2">
      <t>キョクショ</t>
    </rPh>
    <rPh sb="2" eb="4">
      <t>カクハン</t>
    </rPh>
    <rPh sb="4" eb="6">
      <t>クウキ</t>
    </rPh>
    <rPh sb="6" eb="8">
      <t>フキコ</t>
    </rPh>
    <rPh sb="9" eb="11">
      <t>セツビ</t>
    </rPh>
    <phoneticPr fontId="1"/>
  </si>
  <si>
    <t>補助燃料使用によるエネルギー消費量</t>
    <rPh sb="0" eb="2">
      <t>ホジョ</t>
    </rPh>
    <rPh sb="2" eb="4">
      <t>ネンリョウ</t>
    </rPh>
    <rPh sb="4" eb="6">
      <t>シヨウ</t>
    </rPh>
    <rPh sb="14" eb="17">
      <t>ショウヒリョウ</t>
    </rPh>
    <phoneticPr fontId="1"/>
  </si>
  <si>
    <t>補助燃料使用によるエネルギー消費量</t>
    <rPh sb="0" eb="4">
      <t>ホジョネンリョウ</t>
    </rPh>
    <rPh sb="4" eb="6">
      <t>シヨウ</t>
    </rPh>
    <rPh sb="14" eb="17">
      <t>ショウヒリョウ</t>
    </rPh>
    <phoneticPr fontId="1"/>
  </si>
  <si>
    <t>→</t>
    <phoneticPr fontId="1"/>
  </si>
  <si>
    <r>
      <t>MJ/Nm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phoneticPr fontId="1"/>
  </si>
  <si>
    <r>
      <t>MJ/Nm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phoneticPr fontId="1"/>
  </si>
  <si>
    <t>⑤、i：利子率、n：耐用年数
※工種別に年価を算出し、合計する。</t>
    <rPh sb="4" eb="7">
      <t>リシリツ</t>
    </rPh>
    <rPh sb="10" eb="12">
      <t>タイヨウ</t>
    </rPh>
    <rPh sb="12" eb="14">
      <t>ネンスウ</t>
    </rPh>
    <rPh sb="23" eb="25">
      <t>サンシュツ</t>
    </rPh>
    <phoneticPr fontId="1"/>
  </si>
  <si>
    <t>⑫、i：利子率、n：耐用年数
※工種別に年価を算出し、合計する。</t>
    <rPh sb="23" eb="25">
      <t>サンシュツ</t>
    </rPh>
    <phoneticPr fontId="1"/>
  </si>
  <si>
    <t>A重油</t>
    <rPh sb="1" eb="3">
      <t>ジュウユ</t>
    </rPh>
    <phoneticPr fontId="1"/>
  </si>
  <si>
    <t>炉への投入熱量のため、
汚泥発熱量+補助燃料発熱量で算出</t>
    <phoneticPr fontId="1"/>
  </si>
  <si>
    <r>
      <t>Y=工種別建設費×i(1+i)</t>
    </r>
    <r>
      <rPr>
        <vertAlign val="superscript"/>
        <sz val="11"/>
        <color theme="1"/>
        <rFont val="游ゴシック"/>
        <family val="3"/>
        <charset val="128"/>
        <scheme val="minor"/>
      </rPr>
      <t>n</t>
    </r>
    <r>
      <rPr>
        <sz val="11"/>
        <color theme="1"/>
        <rFont val="游ゴシック"/>
        <family val="2"/>
        <charset val="128"/>
        <scheme val="minor"/>
      </rPr>
      <t>/{(1+i)</t>
    </r>
    <r>
      <rPr>
        <vertAlign val="superscript"/>
        <sz val="11"/>
        <color theme="1"/>
        <rFont val="游ゴシック"/>
        <family val="3"/>
        <charset val="128"/>
        <scheme val="minor"/>
      </rPr>
      <t>n</t>
    </r>
    <r>
      <rPr>
        <sz val="11"/>
        <color theme="1"/>
        <rFont val="游ゴシック"/>
        <family val="2"/>
        <charset val="128"/>
        <scheme val="minor"/>
      </rPr>
      <t>-1}</t>
    </r>
    <rPh sb="2" eb="5">
      <t>コウシュベツ</t>
    </rPh>
    <rPh sb="5" eb="8">
      <t>ケンセツヒ</t>
    </rPh>
    <phoneticPr fontId="1"/>
  </si>
  <si>
    <t>①、Xd：設備規模(wet-t/日)</t>
    <rPh sb="5" eb="7">
      <t>セツビ</t>
    </rPh>
    <rPh sb="7" eb="9">
      <t>キボ</t>
    </rPh>
    <rPh sb="16" eb="17">
      <t>ヒ</t>
    </rPh>
    <phoneticPr fontId="1"/>
  </si>
  <si>
    <t xml:space="preserve">⑥、Xy：年間処理脱水汚泥量(wet-t/年) </t>
    <rPh sb="5" eb="7">
      <t>ネンカン</t>
    </rPh>
    <rPh sb="7" eb="9">
      <t>ショリ</t>
    </rPh>
    <rPh sb="9" eb="11">
      <t>ダッスイ</t>
    </rPh>
    <rPh sb="11" eb="14">
      <t>オデイリョウ</t>
    </rPh>
    <rPh sb="21" eb="22">
      <t>ネン</t>
    </rPh>
    <phoneticPr fontId="1"/>
  </si>
  <si>
    <t>⑦、X：汚泥投入量(wet-t/日)</t>
    <rPh sb="4" eb="6">
      <t>オデイ</t>
    </rPh>
    <rPh sb="6" eb="9">
      <t>トウニュウリョウ</t>
    </rPh>
    <rPh sb="16" eb="17">
      <t>ヒ</t>
    </rPh>
    <phoneticPr fontId="1"/>
  </si>
  <si>
    <t>⑧、X：汚泥投入量(wet-t/日)</t>
    <rPh sb="4" eb="6">
      <t>オデイ</t>
    </rPh>
    <rPh sb="6" eb="9">
      <t>トウニュウリョウ</t>
    </rPh>
    <phoneticPr fontId="1"/>
  </si>
  <si>
    <t>⑨、X：汚泥投入量(wet-t/日)</t>
    <rPh sb="4" eb="6">
      <t>オデイ</t>
    </rPh>
    <rPh sb="6" eb="9">
      <t>トウニュウリョウ</t>
    </rPh>
    <phoneticPr fontId="1"/>
  </si>
  <si>
    <t>⑩、X：汚泥投入量(wet-t/日)</t>
    <rPh sb="4" eb="6">
      <t>オデイ</t>
    </rPh>
    <rPh sb="6" eb="9">
      <t>トウニュウリョウ</t>
    </rPh>
    <phoneticPr fontId="1"/>
  </si>
  <si>
    <r>
      <t>Y=工種別建設費×i(1-i)</t>
    </r>
    <r>
      <rPr>
        <vertAlign val="superscript"/>
        <sz val="11"/>
        <color theme="1"/>
        <rFont val="游ゴシック"/>
        <family val="3"/>
        <charset val="128"/>
        <scheme val="minor"/>
      </rPr>
      <t>n</t>
    </r>
    <r>
      <rPr>
        <sz val="11"/>
        <color theme="1"/>
        <rFont val="游ゴシック"/>
        <family val="2"/>
        <charset val="128"/>
        <scheme val="minor"/>
      </rPr>
      <t>/{(1+i)</t>
    </r>
    <r>
      <rPr>
        <vertAlign val="superscript"/>
        <sz val="11"/>
        <color theme="1"/>
        <rFont val="游ゴシック"/>
        <family val="3"/>
        <charset val="128"/>
        <scheme val="minor"/>
      </rPr>
      <t>n</t>
    </r>
    <r>
      <rPr>
        <sz val="11"/>
        <color theme="1"/>
        <rFont val="游ゴシック"/>
        <family val="2"/>
        <charset val="128"/>
        <scheme val="minor"/>
      </rPr>
      <t>-1}</t>
    </r>
    <rPh sb="2" eb="4">
      <t>コウシュ</t>
    </rPh>
    <rPh sb="4" eb="5">
      <t>ベツ</t>
    </rPh>
    <rPh sb="5" eb="8">
      <t>ケンセツヒ</t>
    </rPh>
    <phoneticPr fontId="1"/>
  </si>
  <si>
    <t>X：設備規模(wet-t/日)</t>
    <phoneticPr fontId="1"/>
  </si>
  <si>
    <r>
      <t>Y=消費電力量(kWh)×稼働日数(日/年)×24(h/日)×単価(円/kWh)×10</t>
    </r>
    <r>
      <rPr>
        <vertAlign val="superscript"/>
        <sz val="11"/>
        <color theme="1"/>
        <rFont val="游ゴシック"/>
        <family val="3"/>
        <charset val="128"/>
        <scheme val="minor"/>
      </rPr>
      <t>-6</t>
    </r>
    <rPh sb="2" eb="4">
      <t>ショウヒ</t>
    </rPh>
    <rPh sb="4" eb="7">
      <t>デンリョクリョウ</t>
    </rPh>
    <rPh sb="13" eb="15">
      <t>カドウ</t>
    </rPh>
    <rPh sb="15" eb="17">
      <t>ニッスウ</t>
    </rPh>
    <rPh sb="18" eb="19">
      <t>ニチ</t>
    </rPh>
    <rPh sb="20" eb="21">
      <t>ネン</t>
    </rPh>
    <rPh sb="28" eb="29">
      <t>ヒ</t>
    </rPh>
    <rPh sb="31" eb="33">
      <t>タンカ</t>
    </rPh>
    <rPh sb="34" eb="35">
      <t>エン</t>
    </rPh>
    <phoneticPr fontId="1"/>
  </si>
  <si>
    <r>
      <t>Y=発電電力(kW)×稼働日数(日/年)×24(h/日)×10</t>
    </r>
    <r>
      <rPr>
        <vertAlign val="superscript"/>
        <sz val="11"/>
        <color theme="1"/>
        <rFont val="游ゴシック"/>
        <family val="3"/>
        <charset val="128"/>
        <scheme val="minor"/>
      </rPr>
      <t>-3</t>
    </r>
    <rPh sb="2" eb="4">
      <t>ハツデン</t>
    </rPh>
    <rPh sb="4" eb="6">
      <t>デンリョク</t>
    </rPh>
    <rPh sb="11" eb="13">
      <t>カドウ</t>
    </rPh>
    <rPh sb="13" eb="15">
      <t>ニッスウ</t>
    </rPh>
    <rPh sb="16" eb="17">
      <t>ニチ</t>
    </rPh>
    <rPh sb="18" eb="19">
      <t>ネン</t>
    </rPh>
    <rPh sb="26" eb="27">
      <t>ヒ</t>
    </rPh>
    <phoneticPr fontId="1"/>
  </si>
  <si>
    <r>
      <t>Y=薬品使用量(m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/h)×単価(円/m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3"/>
        <charset val="128"/>
        <scheme val="minor"/>
      </rPr>
      <t>)</t>
    </r>
    <r>
      <rPr>
        <sz val="11"/>
        <color theme="1"/>
        <rFont val="游ゴシック"/>
        <family val="2"/>
        <charset val="128"/>
        <scheme val="minor"/>
      </rPr>
      <t>×稼働日数(日/年)×24(h/日)×10</t>
    </r>
    <r>
      <rPr>
        <vertAlign val="superscript"/>
        <sz val="11"/>
        <color theme="1"/>
        <rFont val="游ゴシック"/>
        <family val="3"/>
        <charset val="128"/>
        <scheme val="minor"/>
      </rPr>
      <t>-6</t>
    </r>
    <rPh sb="2" eb="4">
      <t>ヤクヒン</t>
    </rPh>
    <rPh sb="4" eb="7">
      <t>シヨウリョウ</t>
    </rPh>
    <rPh sb="14" eb="16">
      <t>タンカ</t>
    </rPh>
    <rPh sb="17" eb="18">
      <t>エン</t>
    </rPh>
    <rPh sb="23" eb="25">
      <t>カドウ</t>
    </rPh>
    <rPh sb="25" eb="27">
      <t>ニッスウ</t>
    </rPh>
    <rPh sb="28" eb="29">
      <t>ニチ</t>
    </rPh>
    <rPh sb="30" eb="31">
      <t>ネン</t>
    </rPh>
    <rPh sb="38" eb="39">
      <t>ヒ</t>
    </rPh>
    <phoneticPr fontId="1"/>
  </si>
  <si>
    <t>X：設備規模(wet-t/日)</t>
    <phoneticPr fontId="1"/>
  </si>
  <si>
    <t>X：設備規模(wet-t/日)</t>
    <phoneticPr fontId="1"/>
  </si>
  <si>
    <t>⑲、X：汚泥投入量(wet-t/日)</t>
    <rPh sb="4" eb="6">
      <t>オデイ</t>
    </rPh>
    <rPh sb="6" eb="9">
      <t>トウニュウリョウ</t>
    </rPh>
    <phoneticPr fontId="1"/>
  </si>
  <si>
    <t>⑳、X：汚泥投入量(wet-t/日)</t>
    <rPh sb="4" eb="6">
      <t>オデイ</t>
    </rPh>
    <rPh sb="6" eb="9">
      <t>トウニュウリョウ</t>
    </rPh>
    <phoneticPr fontId="1"/>
  </si>
  <si>
    <t>X：汚泥投入量(wet-t/日)</t>
    <rPh sb="2" eb="4">
      <t>オデイ</t>
    </rPh>
    <rPh sb="4" eb="7">
      <t>トウニュウリョウ</t>
    </rPh>
    <phoneticPr fontId="1"/>
  </si>
  <si>
    <r>
      <t>Y=上水使用量(m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/日)×単価(円/m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)×稼働日数(日/年)×10</t>
    </r>
    <r>
      <rPr>
        <vertAlign val="superscript"/>
        <sz val="11"/>
        <color theme="1"/>
        <rFont val="游ゴシック"/>
        <family val="3"/>
        <charset val="128"/>
        <scheme val="minor"/>
      </rPr>
      <t>-6</t>
    </r>
    <rPh sb="2" eb="4">
      <t>ジョウスイ</t>
    </rPh>
    <rPh sb="4" eb="7">
      <t>シヨウリョウ</t>
    </rPh>
    <rPh sb="11" eb="12">
      <t>ヒ</t>
    </rPh>
    <rPh sb="14" eb="16">
      <t>タンカ</t>
    </rPh>
    <rPh sb="17" eb="18">
      <t>エン</t>
    </rPh>
    <rPh sb="23" eb="25">
      <t>カドウ</t>
    </rPh>
    <rPh sb="25" eb="27">
      <t>ニッスウ</t>
    </rPh>
    <rPh sb="28" eb="29">
      <t>ニチ</t>
    </rPh>
    <rPh sb="30" eb="31">
      <t>ネン</t>
    </rPh>
    <phoneticPr fontId="1"/>
  </si>
  <si>
    <t>①、X：汚泥投入量(wet-t/日)</t>
    <rPh sb="4" eb="6">
      <t>オデイ</t>
    </rPh>
    <rPh sb="6" eb="9">
      <t>トウニュウリョウ</t>
    </rPh>
    <phoneticPr fontId="1"/>
  </si>
  <si>
    <t>X：汚泥投入量(wet-t/日)</t>
    <phoneticPr fontId="1"/>
  </si>
  <si>
    <t>⑥：④+⑤ 　※消費電力量（C）</t>
    <rPh sb="8" eb="10">
      <t>ショウヒ</t>
    </rPh>
    <rPh sb="10" eb="13">
      <t>デンリョクリョウ</t>
    </rPh>
    <phoneticPr fontId="1"/>
  </si>
  <si>
    <r>
      <t>Y=0.000645(t-N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O/wet-t)X×稼働日数(日/年)</t>
    </r>
    <rPh sb="25" eb="27">
      <t>カドウ</t>
    </rPh>
    <rPh sb="27" eb="29">
      <t>ニッスウ</t>
    </rPh>
    <rPh sb="30" eb="31">
      <t>ヒ</t>
    </rPh>
    <rPh sb="32" eb="33">
      <t>ネン</t>
    </rPh>
    <phoneticPr fontId="1"/>
  </si>
  <si>
    <r>
      <t>Y=N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O排出量(t-N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O/年)×298(t-CO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/t-N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O)</t>
    </r>
    <rPh sb="5" eb="8">
      <t>ハイシュツリョウ</t>
    </rPh>
    <rPh sb="15" eb="16">
      <t>ネン</t>
    </rPh>
    <phoneticPr fontId="1"/>
  </si>
  <si>
    <r>
      <t>Y=消費電力量（C）(千kWh/年)×0.555(t-CO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/千kWh)</t>
    </r>
    <rPh sb="2" eb="4">
      <t>ショウヒ</t>
    </rPh>
    <rPh sb="4" eb="6">
      <t>デンリョク</t>
    </rPh>
    <rPh sb="6" eb="7">
      <t>リョウ</t>
    </rPh>
    <rPh sb="11" eb="12">
      <t>セン</t>
    </rPh>
    <rPh sb="16" eb="17">
      <t>ネン</t>
    </rPh>
    <rPh sb="31" eb="32">
      <t>セン</t>
    </rPh>
    <phoneticPr fontId="1"/>
  </si>
  <si>
    <r>
      <t>Y=0.000232(t-N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O/wet-t)X×稼働日数(日/年)</t>
    </r>
    <rPh sb="25" eb="27">
      <t>カドウ</t>
    </rPh>
    <rPh sb="27" eb="29">
      <t>ニッスウ</t>
    </rPh>
    <rPh sb="30" eb="31">
      <t>ヒ</t>
    </rPh>
    <rPh sb="32" eb="33">
      <t>ネン</t>
    </rPh>
    <phoneticPr fontId="1"/>
  </si>
  <si>
    <r>
      <t>Y=消費電力量（B）(千kWh/年)×0.555(t-CO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/千kWh)</t>
    </r>
    <rPh sb="2" eb="4">
      <t>ショウヒ</t>
    </rPh>
    <rPh sb="4" eb="6">
      <t>デンリョク</t>
    </rPh>
    <rPh sb="6" eb="7">
      <t>リョウ</t>
    </rPh>
    <rPh sb="11" eb="12">
      <t>セン</t>
    </rPh>
    <rPh sb="16" eb="17">
      <t>ネン</t>
    </rPh>
    <rPh sb="31" eb="32">
      <t>セン</t>
    </rPh>
    <phoneticPr fontId="1"/>
  </si>
  <si>
    <r>
      <t>Y=発電電力量（A）(千kWh/年)×0.555(t-CO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/千kWh)</t>
    </r>
    <rPh sb="2" eb="4">
      <t>ハツデン</t>
    </rPh>
    <phoneticPr fontId="1"/>
  </si>
  <si>
    <t>③：①+②　※消費電力量（B）</t>
    <rPh sb="7" eb="9">
      <t>ショウヒ</t>
    </rPh>
    <rPh sb="9" eb="12">
      <t>デンリョクリョウ</t>
    </rPh>
    <phoneticPr fontId="1"/>
  </si>
  <si>
    <t>設備規模(wet-t/日)</t>
    <rPh sb="0" eb="2">
      <t>セツビ</t>
    </rPh>
    <rPh sb="2" eb="4">
      <t>キボ</t>
    </rPh>
    <phoneticPr fontId="1"/>
  </si>
  <si>
    <t>投入汚泥量(wet-t/日)</t>
    <rPh sb="0" eb="2">
      <t>トウニュウ</t>
    </rPh>
    <rPh sb="2" eb="5">
      <t>オデイリョウ</t>
    </rPh>
    <phoneticPr fontId="1"/>
  </si>
  <si>
    <t>年間処理脱水汚泥量(wet-t/年)</t>
    <rPh sb="0" eb="2">
      <t>ネンカン</t>
    </rPh>
    <rPh sb="2" eb="4">
      <t>ショリ</t>
    </rPh>
    <rPh sb="4" eb="6">
      <t>ダッスイ</t>
    </rPh>
    <rPh sb="6" eb="9">
      <t>オデイリョウ</t>
    </rPh>
    <rPh sb="16" eb="17">
      <t>ネン</t>
    </rPh>
    <phoneticPr fontId="1"/>
  </si>
  <si>
    <t>低位発熱量(kJ/kg-DS)</t>
    <phoneticPr fontId="1"/>
  </si>
  <si>
    <r>
      <t>蒸発潜熱(kJ/kg-H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O)</t>
    </r>
    <phoneticPr fontId="1"/>
  </si>
  <si>
    <t>稼働日数(日/年)</t>
    <rPh sb="0" eb="2">
      <t>カドウ</t>
    </rPh>
    <rPh sb="2" eb="4">
      <t>ニッスウ</t>
    </rPh>
    <rPh sb="5" eb="6">
      <t>ヒ</t>
    </rPh>
    <rPh sb="7" eb="8">
      <t>ネン</t>
    </rPh>
    <phoneticPr fontId="1"/>
  </si>
  <si>
    <t>電力単価(円/kWh)</t>
    <rPh sb="0" eb="2">
      <t>デンリョク</t>
    </rPh>
    <rPh sb="2" eb="4">
      <t>タンカ</t>
    </rPh>
    <rPh sb="5" eb="6">
      <t>エン</t>
    </rPh>
    <phoneticPr fontId="1"/>
  </si>
  <si>
    <r>
      <t>薬品単価(円/m</t>
    </r>
    <r>
      <rPr>
        <vertAlign val="superscript"/>
        <sz val="11"/>
        <rFont val="游ゴシック"/>
        <family val="3"/>
        <charset val="128"/>
        <scheme val="minor"/>
      </rPr>
      <t>3</t>
    </r>
    <r>
      <rPr>
        <sz val="11"/>
        <rFont val="游ゴシック"/>
        <family val="3"/>
        <charset val="128"/>
        <scheme val="minor"/>
      </rPr>
      <t>)</t>
    </r>
    <rPh sb="0" eb="2">
      <t>ヤクヒン</t>
    </rPh>
    <rPh sb="2" eb="4">
      <t>タンカ</t>
    </rPh>
    <rPh sb="5" eb="6">
      <t>エン</t>
    </rPh>
    <phoneticPr fontId="1"/>
  </si>
  <si>
    <r>
      <t>上水単価(円/m</t>
    </r>
    <r>
      <rPr>
        <vertAlign val="superscript"/>
        <sz val="11"/>
        <rFont val="游ゴシック"/>
        <family val="3"/>
        <charset val="128"/>
        <scheme val="minor"/>
      </rPr>
      <t>3</t>
    </r>
    <r>
      <rPr>
        <sz val="11"/>
        <rFont val="游ゴシック"/>
        <family val="3"/>
        <charset val="128"/>
        <scheme val="minor"/>
      </rPr>
      <t>)</t>
    </r>
    <rPh sb="0" eb="2">
      <t>ジョウスイ</t>
    </rPh>
    <rPh sb="2" eb="4">
      <t>タンカ</t>
    </rPh>
    <rPh sb="5" eb="6">
      <t>エン</t>
    </rPh>
    <phoneticPr fontId="1"/>
  </si>
  <si>
    <t>エネルギー換算係数(自動入力)</t>
    <phoneticPr fontId="1"/>
  </si>
  <si>
    <t>土木建築建築費
(建屋：電気、ブロワー室程度)</t>
    <rPh sb="0" eb="2">
      <t>ドボク</t>
    </rPh>
    <rPh sb="2" eb="4">
      <t>ケンチク</t>
    </rPh>
    <rPh sb="4" eb="7">
      <t>ケンチクヒ</t>
    </rPh>
    <rPh sb="9" eb="11">
      <t>タテヤ</t>
    </rPh>
    <rPh sb="12" eb="14">
      <t>デンキ</t>
    </rPh>
    <rPh sb="19" eb="20">
      <t>シツ</t>
    </rPh>
    <rPh sb="20" eb="22">
      <t>テイド</t>
    </rPh>
    <phoneticPr fontId="1"/>
  </si>
  <si>
    <t>維持管理費
(電力、燃料、薬品費、補修費、人件費)</t>
    <rPh sb="0" eb="2">
      <t>イジ</t>
    </rPh>
    <rPh sb="2" eb="5">
      <t>カンリヒ</t>
    </rPh>
    <rPh sb="7" eb="9">
      <t>デンリョク</t>
    </rPh>
    <rPh sb="10" eb="12">
      <t>ネンリョウ</t>
    </rPh>
    <rPh sb="13" eb="15">
      <t>ヤクヒン</t>
    </rPh>
    <rPh sb="15" eb="16">
      <t>ヒ</t>
    </rPh>
    <rPh sb="17" eb="20">
      <t>ホシュウヒ</t>
    </rPh>
    <rPh sb="21" eb="24">
      <t>ジンケンヒ</t>
    </rPh>
    <phoneticPr fontId="1"/>
  </si>
  <si>
    <t>総費用(年価換算値)</t>
    <rPh sb="0" eb="3">
      <t>ソウヒヨウ</t>
    </rPh>
    <rPh sb="4" eb="5">
      <t>トシ</t>
    </rPh>
    <rPh sb="5" eb="6">
      <t>アタイ</t>
    </rPh>
    <rPh sb="6" eb="8">
      <t>カンサン</t>
    </rPh>
    <rPh sb="8" eb="9">
      <t>アタイ</t>
    </rPh>
    <phoneticPr fontId="1"/>
  </si>
  <si>
    <t>維持管理費(消費電力)</t>
    <rPh sb="0" eb="2">
      <t>イジ</t>
    </rPh>
    <rPh sb="2" eb="5">
      <t>カンリヒ</t>
    </rPh>
    <rPh sb="6" eb="8">
      <t>ショウヒ</t>
    </rPh>
    <rPh sb="8" eb="10">
      <t>デンリョク</t>
    </rPh>
    <phoneticPr fontId="1"/>
  </si>
  <si>
    <t>維持管理費(発電電力)</t>
    <rPh sb="0" eb="2">
      <t>イジ</t>
    </rPh>
    <rPh sb="2" eb="5">
      <t>カンリヒ</t>
    </rPh>
    <rPh sb="6" eb="8">
      <t>ハツデン</t>
    </rPh>
    <rPh sb="8" eb="10">
      <t>デンリョク</t>
    </rPh>
    <phoneticPr fontId="1"/>
  </si>
  <si>
    <t>維持管理費(薬品費)</t>
    <rPh sb="0" eb="2">
      <t>イジ</t>
    </rPh>
    <rPh sb="2" eb="5">
      <t>カンリヒ</t>
    </rPh>
    <rPh sb="6" eb="8">
      <t>ヤクヒン</t>
    </rPh>
    <rPh sb="8" eb="9">
      <t>ヒ</t>
    </rPh>
    <phoneticPr fontId="1"/>
  </si>
  <si>
    <t>維持管理費(上水費)</t>
    <rPh sb="0" eb="2">
      <t>イジ</t>
    </rPh>
    <rPh sb="2" eb="5">
      <t>カンリヒ</t>
    </rPh>
    <rPh sb="6" eb="8">
      <t>ジョウスイ</t>
    </rPh>
    <rPh sb="8" eb="9">
      <t>ヒ</t>
    </rPh>
    <phoneticPr fontId="1"/>
  </si>
  <si>
    <t>維持管理費(点検・補修費)</t>
    <rPh sb="0" eb="2">
      <t>イジ</t>
    </rPh>
    <rPh sb="2" eb="5">
      <t>カンリヒ</t>
    </rPh>
    <rPh sb="6" eb="8">
      <t>テンケン</t>
    </rPh>
    <rPh sb="9" eb="11">
      <t>ホシュウ</t>
    </rPh>
    <rPh sb="11" eb="12">
      <t>ヒ</t>
    </rPh>
    <phoneticPr fontId="1"/>
  </si>
  <si>
    <t>その他導入効果(白防設備停止)
(点検整備費用)</t>
    <rPh sb="2" eb="3">
      <t>タ</t>
    </rPh>
    <rPh sb="3" eb="5">
      <t>ドウニュウ</t>
    </rPh>
    <rPh sb="5" eb="7">
      <t>コウカ</t>
    </rPh>
    <rPh sb="8" eb="9">
      <t>ハク</t>
    </rPh>
    <rPh sb="9" eb="10">
      <t>ボウ</t>
    </rPh>
    <rPh sb="10" eb="12">
      <t>セツビ</t>
    </rPh>
    <rPh sb="12" eb="14">
      <t>テイシ</t>
    </rPh>
    <rPh sb="17" eb="19">
      <t>テンケン</t>
    </rPh>
    <rPh sb="19" eb="21">
      <t>セイビ</t>
    </rPh>
    <rPh sb="21" eb="23">
      <t>ヒヨウ</t>
    </rPh>
    <phoneticPr fontId="1"/>
  </si>
  <si>
    <t>その他導入効果(白防設備停止)
(更新費用)</t>
    <rPh sb="2" eb="3">
      <t>タ</t>
    </rPh>
    <rPh sb="3" eb="5">
      <t>ドウニュウ</t>
    </rPh>
    <rPh sb="5" eb="7">
      <t>コウカ</t>
    </rPh>
    <rPh sb="8" eb="9">
      <t>ハク</t>
    </rPh>
    <rPh sb="9" eb="10">
      <t>ボウ</t>
    </rPh>
    <rPh sb="10" eb="12">
      <t>セツビ</t>
    </rPh>
    <rPh sb="12" eb="14">
      <t>テイシ</t>
    </rPh>
    <rPh sb="17" eb="19">
      <t>コウシン</t>
    </rPh>
    <rPh sb="19" eb="21">
      <t>ヒヨウ</t>
    </rPh>
    <phoneticPr fontId="1"/>
  </si>
  <si>
    <t>その他導入効果(白防設備停止)
(消費電力)</t>
    <rPh sb="2" eb="3">
      <t>タ</t>
    </rPh>
    <rPh sb="3" eb="5">
      <t>ドウニュウ</t>
    </rPh>
    <rPh sb="5" eb="7">
      <t>コウカ</t>
    </rPh>
    <rPh sb="8" eb="9">
      <t>ハク</t>
    </rPh>
    <rPh sb="9" eb="10">
      <t>ボウ</t>
    </rPh>
    <rPh sb="10" eb="12">
      <t>セツビ</t>
    </rPh>
    <rPh sb="12" eb="14">
      <t>テイシ</t>
    </rPh>
    <rPh sb="17" eb="19">
      <t>ショウヒ</t>
    </rPh>
    <rPh sb="19" eb="21">
      <t>デンリョク</t>
    </rPh>
    <phoneticPr fontId="1"/>
  </si>
  <si>
    <t>革新的技術建設費年価(焼却設備(従来技術)含む)</t>
    <rPh sb="0" eb="3">
      <t>カクシンテキ</t>
    </rPh>
    <rPh sb="3" eb="5">
      <t>ギジュツ</t>
    </rPh>
    <rPh sb="5" eb="8">
      <t>ケンセツヒ</t>
    </rPh>
    <rPh sb="8" eb="10">
      <t>ネンカ</t>
    </rPh>
    <rPh sb="11" eb="13">
      <t>ショウキャク</t>
    </rPh>
    <rPh sb="13" eb="15">
      <t>セツビ</t>
    </rPh>
    <rPh sb="16" eb="18">
      <t>ジュウライ</t>
    </rPh>
    <rPh sb="18" eb="20">
      <t>ギジュツ</t>
    </rPh>
    <rPh sb="21" eb="22">
      <t>フク</t>
    </rPh>
    <phoneticPr fontId="1"/>
  </si>
  <si>
    <t>革新的技術維持管理費(焼却設備(従来技術)含む)</t>
    <rPh sb="0" eb="3">
      <t>カクシンテキ</t>
    </rPh>
    <rPh sb="3" eb="5">
      <t>ギジュツ</t>
    </rPh>
    <rPh sb="5" eb="7">
      <t>イジ</t>
    </rPh>
    <rPh sb="7" eb="10">
      <t>カンリヒ</t>
    </rPh>
    <rPh sb="11" eb="13">
      <t>ショウキャク</t>
    </rPh>
    <rPh sb="13" eb="15">
      <t>セツビ</t>
    </rPh>
    <rPh sb="16" eb="18">
      <t>ジュウライ</t>
    </rPh>
    <rPh sb="18" eb="20">
      <t>ギジュツ</t>
    </rPh>
    <rPh sb="21" eb="22">
      <t>フク</t>
    </rPh>
    <phoneticPr fontId="1"/>
  </si>
  <si>
    <t>総費用(年価換算値)(焼却設備(従来技術)含む)</t>
    <rPh sb="0" eb="3">
      <t>ソウヒヨウ</t>
    </rPh>
    <rPh sb="4" eb="5">
      <t>トシ</t>
    </rPh>
    <rPh sb="5" eb="6">
      <t>アタイ</t>
    </rPh>
    <rPh sb="6" eb="8">
      <t>カンサン</t>
    </rPh>
    <rPh sb="8" eb="9">
      <t>アタイ</t>
    </rPh>
    <phoneticPr fontId="1"/>
  </si>
  <si>
    <t>消費電力量(焼却設備含む)</t>
    <rPh sb="0" eb="2">
      <t>ショウヒ</t>
    </rPh>
    <rPh sb="2" eb="4">
      <t>デンリョク</t>
    </rPh>
    <rPh sb="4" eb="5">
      <t>リョウ</t>
    </rPh>
    <phoneticPr fontId="1"/>
  </si>
  <si>
    <t>消費電力由来GHG排出量(焼却設備含む)</t>
    <rPh sb="0" eb="2">
      <t>ショウヒ</t>
    </rPh>
    <rPh sb="2" eb="4">
      <t>デンリョク</t>
    </rPh>
    <rPh sb="4" eb="6">
      <t>ユライ</t>
    </rPh>
    <rPh sb="9" eb="12">
      <t>ハイシュツリョウ</t>
    </rPh>
    <phoneticPr fontId="1"/>
  </si>
  <si>
    <r>
      <t>N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O由来GHG排出量(焼却設備含む)</t>
    </r>
    <rPh sb="3" eb="5">
      <t>ユライ</t>
    </rPh>
    <rPh sb="8" eb="11">
      <t>ハイシュツリョウ</t>
    </rPh>
    <phoneticPr fontId="1"/>
  </si>
  <si>
    <t>稼働日数(日/年)</t>
    <rPh sb="0" eb="2">
      <t>カドウ</t>
    </rPh>
    <rPh sb="2" eb="4">
      <t>ニッスウ</t>
    </rPh>
    <rPh sb="5" eb="6">
      <t>ニチ</t>
    </rPh>
    <rPh sb="7" eb="8">
      <t>ネン</t>
    </rPh>
    <phoneticPr fontId="1"/>
  </si>
  <si>
    <t>稼働日数(日/年)</t>
    <rPh sb="0" eb="2">
      <t>カドウ</t>
    </rPh>
    <rPh sb="2" eb="4">
      <t>ニッスウ</t>
    </rPh>
    <phoneticPr fontId="1"/>
  </si>
  <si>
    <t>利子率(％)</t>
    <rPh sb="0" eb="2">
      <t>リシ</t>
    </rPh>
    <rPh sb="2" eb="3">
      <t>リツ</t>
    </rPh>
    <phoneticPr fontId="1"/>
  </si>
  <si>
    <t>対象年数(年)</t>
    <rPh sb="0" eb="2">
      <t>タイショウ</t>
    </rPh>
    <rPh sb="2" eb="4">
      <t>ネンスウ</t>
    </rPh>
    <rPh sb="5" eb="6">
      <t>ネン</t>
    </rPh>
    <phoneticPr fontId="1"/>
  </si>
  <si>
    <t>単価(円/kWh)</t>
    <rPh sb="0" eb="2">
      <t>タンカ</t>
    </rPh>
    <rPh sb="3" eb="4">
      <t>エン</t>
    </rPh>
    <phoneticPr fontId="1"/>
  </si>
  <si>
    <r>
      <t>単価(円/m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)</t>
    </r>
    <phoneticPr fontId="1"/>
  </si>
  <si>
    <t>換算係数
(kWh/MJ)</t>
    <rPh sb="0" eb="2">
      <t>カンサン</t>
    </rPh>
    <rPh sb="2" eb="4">
      <t>ケイスウ</t>
    </rPh>
    <phoneticPr fontId="1"/>
  </si>
  <si>
    <t>⑩：(1－⑨/④)×100</t>
    <phoneticPr fontId="1"/>
  </si>
  <si>
    <r>
      <t>N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O排出量　(t-N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O/年)</t>
    </r>
    <rPh sb="3" eb="6">
      <t>ハイシュツリョウ</t>
    </rPh>
    <rPh sb="14" eb="15">
      <t>ネン</t>
    </rPh>
    <phoneticPr fontId="1"/>
  </si>
  <si>
    <r>
      <t>上水使用量
(m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/日)</t>
    </r>
    <rPh sb="0" eb="2">
      <t>ジョウスイ</t>
    </rPh>
    <rPh sb="2" eb="5">
      <t>シヨウリョウ</t>
    </rPh>
    <rPh sb="10" eb="11">
      <t>ヒ</t>
    </rPh>
    <phoneticPr fontId="1"/>
  </si>
  <si>
    <t>消費電力量
(kWh)</t>
    <rPh sb="0" eb="2">
      <t>ショウヒ</t>
    </rPh>
    <rPh sb="2" eb="5">
      <t>デンリョクリョウ</t>
    </rPh>
    <phoneticPr fontId="1"/>
  </si>
  <si>
    <t>消費電力
(ｋW)</t>
    <rPh sb="0" eb="2">
      <t>ショウヒ</t>
    </rPh>
    <rPh sb="2" eb="4">
      <t>デンリョク</t>
    </rPh>
    <phoneticPr fontId="1"/>
  </si>
  <si>
    <r>
      <t>薬品使用量
(m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/h)</t>
    </r>
    <rPh sb="0" eb="2">
      <t>ヤクヒン</t>
    </rPh>
    <rPh sb="2" eb="5">
      <t>シヨウリョウ</t>
    </rPh>
    <phoneticPr fontId="1"/>
  </si>
  <si>
    <t>発電電力
(kW)</t>
    <rPh sb="0" eb="2">
      <t>ハツデン</t>
    </rPh>
    <rPh sb="2" eb="4">
      <t>デンリョク</t>
    </rPh>
    <phoneticPr fontId="1"/>
  </si>
  <si>
    <t>投入熱量
(GJ/h)</t>
    <rPh sb="0" eb="2">
      <t>トウニュウ</t>
    </rPh>
    <rPh sb="2" eb="4">
      <t>ネツリョウ</t>
    </rPh>
    <phoneticPr fontId="1"/>
  </si>
  <si>
    <t>発電、局所攪拌設備
(焼却設備含む)</t>
    <rPh sb="0" eb="2">
      <t>ハツデン</t>
    </rPh>
    <rPh sb="3" eb="5">
      <t>キョクショ</t>
    </rPh>
    <rPh sb="5" eb="7">
      <t>カクハン</t>
    </rPh>
    <rPh sb="7" eb="9">
      <t>セツビ</t>
    </rPh>
    <rPh sb="11" eb="13">
      <t>ショウキャク</t>
    </rPh>
    <rPh sb="13" eb="15">
      <t>セツビ</t>
    </rPh>
    <rPh sb="15" eb="16">
      <t>フク</t>
    </rPh>
    <phoneticPr fontId="1"/>
  </si>
  <si>
    <r>
      <t>Y=｛汚泥投入量(wet-t/日)×10</t>
    </r>
    <r>
      <rPr>
        <vertAlign val="superscript"/>
        <sz val="10"/>
        <rFont val="游ゴシック"/>
        <family val="3"/>
        <charset val="128"/>
        <scheme val="minor"/>
      </rPr>
      <t>3</t>
    </r>
    <r>
      <rPr>
        <sz val="10"/>
        <rFont val="游ゴシック"/>
        <family val="3"/>
        <charset val="128"/>
        <scheme val="minor"/>
      </rPr>
      <t>×1/24(日/h)×(1-含水率)×低位発熱量(kJ/kg-DS)－蒸発潜熱(kJ/kg-H</t>
    </r>
    <r>
      <rPr>
        <vertAlign val="subscript"/>
        <sz val="10"/>
        <rFont val="游ゴシック"/>
        <family val="3"/>
        <charset val="128"/>
        <scheme val="minor"/>
      </rPr>
      <t>2</t>
    </r>
    <r>
      <rPr>
        <sz val="10"/>
        <rFont val="游ゴシック"/>
        <family val="3"/>
        <charset val="128"/>
        <scheme val="minor"/>
      </rPr>
      <t>O)×(wet-t/日)×10</t>
    </r>
    <r>
      <rPr>
        <vertAlign val="superscript"/>
        <sz val="10"/>
        <rFont val="游ゴシック"/>
        <family val="3"/>
        <charset val="128"/>
        <scheme val="minor"/>
      </rPr>
      <t>3</t>
    </r>
    <r>
      <rPr>
        <sz val="10"/>
        <rFont val="游ゴシック"/>
        <family val="3"/>
        <charset val="128"/>
        <scheme val="minor"/>
      </rPr>
      <t>×1/24(日/h)×含水率}×10</t>
    </r>
    <r>
      <rPr>
        <vertAlign val="superscript"/>
        <sz val="10"/>
        <rFont val="游ゴシック"/>
        <family val="3"/>
        <charset val="128"/>
        <scheme val="minor"/>
      </rPr>
      <t>-6</t>
    </r>
    <r>
      <rPr>
        <sz val="10"/>
        <rFont val="游ゴシック"/>
        <family val="3"/>
        <charset val="128"/>
        <scheme val="minor"/>
      </rPr>
      <t>+{補助燃料使用量(Nm</t>
    </r>
    <r>
      <rPr>
        <vertAlign val="superscript"/>
        <sz val="10"/>
        <rFont val="游ゴシック"/>
        <family val="3"/>
        <charset val="128"/>
        <scheme val="minor"/>
      </rPr>
      <t>3</t>
    </r>
    <r>
      <rPr>
        <sz val="10"/>
        <rFont val="游ゴシック"/>
        <family val="3"/>
        <charset val="128"/>
        <scheme val="minor"/>
      </rPr>
      <t>/h)×補助燃料エネルギー換算係数(MJ/h)×10</t>
    </r>
    <r>
      <rPr>
        <vertAlign val="superscript"/>
        <sz val="10"/>
        <rFont val="游ゴシック"/>
        <family val="3"/>
        <charset val="128"/>
        <scheme val="minor"/>
      </rPr>
      <t>-3</t>
    </r>
    <rPh sb="3" eb="5">
      <t>オデイ</t>
    </rPh>
    <rPh sb="5" eb="8">
      <t>トウニュウリョウ</t>
    </rPh>
    <rPh sb="15" eb="16">
      <t>ヒ</t>
    </rPh>
    <rPh sb="27" eb="28">
      <t>ヒ</t>
    </rPh>
    <rPh sb="35" eb="38">
      <t>ガンスイリツ</t>
    </rPh>
    <rPh sb="40" eb="42">
      <t>テイイ</t>
    </rPh>
    <rPh sb="42" eb="45">
      <t>ハツネツリョウ</t>
    </rPh>
    <rPh sb="56" eb="58">
      <t>ジョウハツ</t>
    </rPh>
    <rPh sb="58" eb="60">
      <t>センネツ</t>
    </rPh>
    <rPh sb="96" eb="99">
      <t>ガンスイリツ</t>
    </rPh>
    <phoneticPr fontId="1"/>
  </si>
  <si>
    <r>
      <t>Y=(1.12X＋266)×稼働日数(日/年)×24(h/日)×10</t>
    </r>
    <r>
      <rPr>
        <vertAlign val="superscript"/>
        <sz val="11"/>
        <rFont val="游ゴシック"/>
        <family val="3"/>
        <charset val="128"/>
        <scheme val="minor"/>
      </rPr>
      <t>-3</t>
    </r>
    <rPh sb="14" eb="16">
      <t>カドウ</t>
    </rPh>
    <rPh sb="16" eb="18">
      <t>ニッスウ</t>
    </rPh>
    <rPh sb="19" eb="20">
      <t>ヒ</t>
    </rPh>
    <rPh sb="21" eb="22">
      <t>ネン</t>
    </rPh>
    <rPh sb="29" eb="30">
      <t>ヒ</t>
    </rPh>
    <phoneticPr fontId="1"/>
  </si>
  <si>
    <r>
      <t>Y=補助燃料使用量(m</t>
    </r>
    <r>
      <rPr>
        <vertAlign val="superscript"/>
        <sz val="10"/>
        <rFont val="游ゴシック"/>
        <family val="3"/>
        <charset val="128"/>
        <scheme val="minor"/>
      </rPr>
      <t>3</t>
    </r>
    <r>
      <rPr>
        <sz val="10"/>
        <rFont val="游ゴシック"/>
        <family val="3"/>
        <charset val="128"/>
        <scheme val="minor"/>
      </rPr>
      <t>/h or L/h)×稼働日数(日/年)×24(h/日)×補助燃料エネルギー原単位(MJ/m</t>
    </r>
    <r>
      <rPr>
        <vertAlign val="superscript"/>
        <sz val="10"/>
        <rFont val="游ゴシック"/>
        <family val="3"/>
        <charset val="128"/>
        <scheme val="minor"/>
      </rPr>
      <t>3</t>
    </r>
    <r>
      <rPr>
        <sz val="10"/>
        <rFont val="游ゴシック"/>
        <family val="3"/>
        <charset val="128"/>
        <scheme val="minor"/>
      </rPr>
      <t xml:space="preserve"> or L)×10</t>
    </r>
    <r>
      <rPr>
        <vertAlign val="superscript"/>
        <sz val="10"/>
        <rFont val="游ゴシック"/>
        <family val="3"/>
        <charset val="128"/>
        <scheme val="minor"/>
      </rPr>
      <t>-3</t>
    </r>
    <r>
      <rPr>
        <sz val="10"/>
        <rFont val="游ゴシック"/>
        <family val="3"/>
        <charset val="128"/>
        <scheme val="minor"/>
      </rPr>
      <t>×換算係数(kWh/MJ)</t>
    </r>
    <rPh sb="2" eb="4">
      <t>ホジョ</t>
    </rPh>
    <rPh sb="4" eb="6">
      <t>ネンリョウ</t>
    </rPh>
    <rPh sb="6" eb="9">
      <t>シヨウリョウ</t>
    </rPh>
    <rPh sb="23" eb="25">
      <t>カドウ</t>
    </rPh>
    <rPh sb="25" eb="27">
      <t>ニッスウ</t>
    </rPh>
    <rPh sb="28" eb="29">
      <t>ニチ</t>
    </rPh>
    <rPh sb="30" eb="31">
      <t>ネン</t>
    </rPh>
    <rPh sb="38" eb="39">
      <t>ニチ</t>
    </rPh>
    <rPh sb="41" eb="43">
      <t>ホジョ</t>
    </rPh>
    <rPh sb="43" eb="45">
      <t>ネンリョウ</t>
    </rPh>
    <rPh sb="50" eb="53">
      <t>ゲンタンイ</t>
    </rPh>
    <rPh sb="71" eb="73">
      <t>カンサン</t>
    </rPh>
    <rPh sb="73" eb="75">
      <t>ケイスウ</t>
    </rPh>
    <phoneticPr fontId="1"/>
  </si>
  <si>
    <r>
      <t>Y=消費電力(kW)×稼働日数(日/年)×24(h/日)×10</t>
    </r>
    <r>
      <rPr>
        <vertAlign val="superscript"/>
        <sz val="11"/>
        <rFont val="游ゴシック"/>
        <family val="3"/>
        <charset val="128"/>
        <scheme val="minor"/>
      </rPr>
      <t>-3</t>
    </r>
    <rPh sb="2" eb="4">
      <t>ショウヒ</t>
    </rPh>
    <rPh sb="4" eb="6">
      <t>デンリョク</t>
    </rPh>
    <rPh sb="11" eb="13">
      <t>カドウ</t>
    </rPh>
    <rPh sb="13" eb="15">
      <t>ニッスウ</t>
    </rPh>
    <rPh sb="16" eb="17">
      <t>ヒ</t>
    </rPh>
    <rPh sb="18" eb="19">
      <t>ネン</t>
    </rPh>
    <rPh sb="26" eb="27">
      <t>ヒ</t>
    </rPh>
    <phoneticPr fontId="1"/>
  </si>
  <si>
    <r>
      <t>Y=補助燃料使用量(m</t>
    </r>
    <r>
      <rPr>
        <vertAlign val="superscript"/>
        <sz val="10"/>
        <rFont val="游ゴシック"/>
        <family val="3"/>
        <charset val="128"/>
        <scheme val="minor"/>
      </rPr>
      <t>3</t>
    </r>
    <r>
      <rPr>
        <sz val="10"/>
        <rFont val="游ゴシック"/>
        <family val="3"/>
        <charset val="128"/>
        <scheme val="minor"/>
      </rPr>
      <t xml:space="preserve"> or L/h)×稼働日数(日/年)×24(h/日)×補助燃料エネルギー原単位(MJ/m</t>
    </r>
    <r>
      <rPr>
        <vertAlign val="superscript"/>
        <sz val="10"/>
        <rFont val="游ゴシック"/>
        <family val="3"/>
        <charset val="128"/>
        <scheme val="minor"/>
      </rPr>
      <t>3</t>
    </r>
    <r>
      <rPr>
        <sz val="10"/>
        <rFont val="游ゴシック"/>
        <family val="3"/>
        <charset val="128"/>
        <scheme val="minor"/>
      </rPr>
      <t xml:space="preserve"> or MJ/L)×10</t>
    </r>
    <r>
      <rPr>
        <vertAlign val="superscript"/>
        <sz val="10"/>
        <rFont val="游ゴシック"/>
        <family val="3"/>
        <charset val="128"/>
        <scheme val="minor"/>
      </rPr>
      <t>-3</t>
    </r>
    <r>
      <rPr>
        <sz val="10"/>
        <rFont val="游ゴシック"/>
        <family val="3"/>
        <charset val="128"/>
        <scheme val="minor"/>
      </rPr>
      <t>×換算係数(kWh/MJ)</t>
    </r>
    <rPh sb="2" eb="4">
      <t>ホジョ</t>
    </rPh>
    <rPh sb="4" eb="6">
      <t>ネンリョウ</t>
    </rPh>
    <rPh sb="6" eb="9">
      <t>シヨウリョウ</t>
    </rPh>
    <rPh sb="21" eb="23">
      <t>カドウ</t>
    </rPh>
    <rPh sb="23" eb="25">
      <t>ニッスウ</t>
    </rPh>
    <rPh sb="26" eb="27">
      <t>ニチ</t>
    </rPh>
    <rPh sb="28" eb="29">
      <t>ネン</t>
    </rPh>
    <rPh sb="36" eb="37">
      <t>ニチ</t>
    </rPh>
    <rPh sb="39" eb="41">
      <t>ホジョ</t>
    </rPh>
    <rPh sb="41" eb="43">
      <t>ネンリョウ</t>
    </rPh>
    <rPh sb="48" eb="51">
      <t>ゲンタンイ</t>
    </rPh>
    <rPh sb="72" eb="74">
      <t>カンサン</t>
    </rPh>
    <rPh sb="74" eb="76">
      <t>ケイスウ</t>
    </rPh>
    <phoneticPr fontId="1"/>
  </si>
  <si>
    <r>
      <t>Y=発電電力(kW)×稼働日数(日/年)×24(h/日)×10</t>
    </r>
    <r>
      <rPr>
        <vertAlign val="superscript"/>
        <sz val="11"/>
        <rFont val="游ゴシック"/>
        <family val="3"/>
        <charset val="128"/>
        <scheme val="minor"/>
      </rPr>
      <t>-3</t>
    </r>
    <rPh sb="2" eb="4">
      <t>ハツデン</t>
    </rPh>
    <rPh sb="4" eb="6">
      <t>デンリョク</t>
    </rPh>
    <rPh sb="11" eb="13">
      <t>カドウ</t>
    </rPh>
    <rPh sb="13" eb="15">
      <t>ニッスウ</t>
    </rPh>
    <rPh sb="16" eb="17">
      <t>ヒ</t>
    </rPh>
    <rPh sb="18" eb="19">
      <t>ネン</t>
    </rPh>
    <rPh sb="26" eb="27">
      <t>ニチ</t>
    </rPh>
    <phoneticPr fontId="1"/>
  </si>
  <si>
    <r>
      <t>t-CO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/年</t>
    </r>
    <rPh sb="6" eb="7">
      <t>ネン</t>
    </rPh>
    <phoneticPr fontId="1"/>
  </si>
  <si>
    <r>
      <t>N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O由来GHG排出量</t>
    </r>
    <rPh sb="3" eb="5">
      <t>ユライ</t>
    </rPh>
    <rPh sb="8" eb="11">
      <t>ハイシュツリョウ</t>
    </rPh>
    <phoneticPr fontId="1"/>
  </si>
  <si>
    <r>
      <t>N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O排出量　(t-N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O/年)</t>
    </r>
    <rPh sb="3" eb="6">
      <t>ハイシュツリョウ</t>
    </rPh>
    <rPh sb="14" eb="15">
      <t>ネン</t>
    </rPh>
    <phoneticPr fontId="1"/>
  </si>
  <si>
    <t>電力費削減、その他効果</t>
    <rPh sb="0" eb="2">
      <t>デンリョク</t>
    </rPh>
    <rPh sb="2" eb="3">
      <t>ヒ</t>
    </rPh>
    <rPh sb="3" eb="5">
      <t>サクゲン</t>
    </rPh>
    <rPh sb="8" eb="9">
      <t>タ</t>
    </rPh>
    <rPh sb="9" eb="11">
      <t>コウカ</t>
    </rPh>
    <phoneticPr fontId="1"/>
  </si>
  <si>
    <t>←計算参照セル修正しました。</t>
    <rPh sb="1" eb="3">
      <t>ケイサン</t>
    </rPh>
    <rPh sb="3" eb="5">
      <t>サンショウ</t>
    </rPh>
    <rPh sb="7" eb="9">
      <t>シュウセイ</t>
    </rPh>
    <phoneticPr fontId="1"/>
  </si>
  <si>
    <r>
      <t>Y=2.426Xd</t>
    </r>
    <r>
      <rPr>
        <vertAlign val="superscript"/>
        <sz val="11"/>
        <color theme="1"/>
        <rFont val="游ゴシック"/>
        <family val="3"/>
        <charset val="128"/>
        <scheme val="minor"/>
      </rPr>
      <t>0.0094</t>
    </r>
    <r>
      <rPr>
        <sz val="11"/>
        <color theme="1"/>
        <rFont val="游ゴシック"/>
        <family val="3"/>
        <charset val="128"/>
        <scheme val="minor"/>
      </rPr>
      <t>×100</t>
    </r>
    <phoneticPr fontId="1"/>
  </si>
  <si>
    <r>
      <t>Y</t>
    </r>
    <r>
      <rPr>
        <sz val="11"/>
        <color theme="1"/>
        <rFont val="游ゴシック"/>
        <family val="2"/>
        <charset val="128"/>
        <scheme val="minor"/>
      </rPr>
      <t>=0.119X+65.1</t>
    </r>
    <phoneticPr fontId="1"/>
  </si>
  <si>
    <r>
      <t>Y=0.998X</t>
    </r>
    <r>
      <rPr>
        <vertAlign val="superscript"/>
        <sz val="11"/>
        <color theme="1"/>
        <rFont val="游ゴシック"/>
        <family val="3"/>
        <charset val="128"/>
        <scheme val="minor"/>
      </rPr>
      <t>0.7</t>
    </r>
    <phoneticPr fontId="1"/>
  </si>
  <si>
    <t>Y=(1.12X＋266)＋(0.119X+65.1)-(0.213X+10.462)</t>
    <phoneticPr fontId="1"/>
  </si>
  <si>
    <t>⑧：{1-(⑥－⑦)/③}×100</t>
    <phoneticPr fontId="1"/>
  </si>
  <si>
    <r>
      <t>※</t>
    </r>
    <r>
      <rPr>
        <sz val="11"/>
        <rFont val="游ゴシック"/>
        <family val="3"/>
        <charset val="128"/>
        <scheme val="minor"/>
      </rPr>
      <t>発電電力量（A）</t>
    </r>
    <rPh sb="1" eb="3">
      <t>ハツデン</t>
    </rPh>
    <rPh sb="3" eb="5">
      <t>デンリョク</t>
    </rPh>
    <rPh sb="5" eb="6">
      <t>リョウ</t>
    </rPh>
    <phoneticPr fontId="1"/>
  </si>
  <si>
    <r>
      <t>kg</t>
    </r>
    <r>
      <rPr>
        <sz val="11"/>
        <rFont val="游ゴシック"/>
        <family val="3"/>
        <charset val="128"/>
        <scheme val="minor"/>
      </rPr>
      <t>-CO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/m</t>
    </r>
    <r>
      <rPr>
        <vertAlign val="superscript"/>
        <sz val="11"/>
        <rFont val="游ゴシック"/>
        <family val="3"/>
        <charset val="128"/>
        <scheme val="minor"/>
      </rPr>
      <t>3</t>
    </r>
    <phoneticPr fontId="1"/>
  </si>
  <si>
    <r>
      <t>kg-CO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/m</t>
    </r>
    <r>
      <rPr>
        <vertAlign val="superscript"/>
        <sz val="11"/>
        <rFont val="游ゴシック"/>
        <family val="3"/>
        <charset val="128"/>
        <scheme val="minor"/>
      </rPr>
      <t>3</t>
    </r>
    <phoneticPr fontId="1"/>
  </si>
  <si>
    <r>
      <t>kg-CO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/L</t>
    </r>
    <phoneticPr fontId="1"/>
  </si>
  <si>
    <r>
      <t>kg-CO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/L</t>
    </r>
    <phoneticPr fontId="1"/>
  </si>
  <si>
    <t>発電電力量
(千kWh/年)</t>
    <rPh sb="0" eb="2">
      <t>ハツデン</t>
    </rPh>
    <rPh sb="2" eb="5">
      <t>デンリョクリョウ</t>
    </rPh>
    <rPh sb="7" eb="8">
      <t>セン</t>
    </rPh>
    <rPh sb="12" eb="13">
      <t>ネン</t>
    </rPh>
    <phoneticPr fontId="1"/>
  </si>
  <si>
    <r>
      <t>Y=発電電力量(千kWh/年)×単価(円/kWh)×10</t>
    </r>
    <r>
      <rPr>
        <vertAlign val="superscript"/>
        <sz val="11"/>
        <color theme="1"/>
        <rFont val="游ゴシック"/>
        <family val="3"/>
        <charset val="128"/>
        <scheme val="minor"/>
      </rPr>
      <t>-3</t>
    </r>
    <rPh sb="2" eb="4">
      <t>ハツデン</t>
    </rPh>
    <rPh sb="4" eb="7">
      <t>デンリョクリョウ</t>
    </rPh>
    <rPh sb="8" eb="9">
      <t>セン</t>
    </rPh>
    <rPh sb="13" eb="14">
      <t>ネン</t>
    </rPh>
    <rPh sb="16" eb="18">
      <t>タンカ</t>
    </rPh>
    <rPh sb="19" eb="20">
      <t>エン</t>
    </rPh>
    <phoneticPr fontId="1"/>
  </si>
  <si>
    <t>消費電力量
(kWh/年)</t>
    <rPh sb="0" eb="2">
      <t>ショウヒ</t>
    </rPh>
    <rPh sb="2" eb="5">
      <t>デンリョクリョウ</t>
    </rPh>
    <rPh sb="11" eb="12">
      <t>ネン</t>
    </rPh>
    <phoneticPr fontId="1"/>
  </si>
  <si>
    <r>
      <t>Y=消費電力量(kWh/年)×単価(円/kWh)×10</t>
    </r>
    <r>
      <rPr>
        <vertAlign val="superscript"/>
        <sz val="11"/>
        <color theme="1"/>
        <rFont val="游ゴシック"/>
        <family val="3"/>
        <charset val="128"/>
        <scheme val="minor"/>
      </rPr>
      <t>-6</t>
    </r>
    <rPh sb="2" eb="4">
      <t>ショウヒ</t>
    </rPh>
    <rPh sb="4" eb="7">
      <t>デンリョクリョウ</t>
    </rPh>
    <rPh sb="12" eb="13">
      <t>ネン</t>
    </rPh>
    <rPh sb="15" eb="17">
      <t>タンカ</t>
    </rPh>
    <rPh sb="18" eb="19">
      <t>エン</t>
    </rPh>
    <phoneticPr fontId="1"/>
  </si>
  <si>
    <r>
      <t>Y</t>
    </r>
    <r>
      <rPr>
        <sz val="11"/>
        <color theme="1"/>
        <rFont val="游ゴシック"/>
        <family val="2"/>
        <charset val="128"/>
        <scheme val="minor"/>
      </rPr>
      <t>=2.42X+340</t>
    </r>
    <phoneticPr fontId="1"/>
  </si>
  <si>
    <r>
      <t>Y</t>
    </r>
    <r>
      <rPr>
        <sz val="11"/>
        <color theme="1"/>
        <rFont val="游ゴシック"/>
        <family val="2"/>
        <charset val="128"/>
        <scheme val="minor"/>
      </rPr>
      <t>=0.0142X+0.791</t>
    </r>
    <phoneticPr fontId="1"/>
  </si>
  <si>
    <r>
      <t>Y</t>
    </r>
    <r>
      <rPr>
        <sz val="11"/>
        <color theme="1"/>
        <rFont val="游ゴシック"/>
        <family val="2"/>
        <charset val="128"/>
        <scheme val="minor"/>
      </rPr>
      <t>=0.311X+53.3</t>
    </r>
    <phoneticPr fontId="1"/>
  </si>
  <si>
    <r>
      <t>Y</t>
    </r>
    <r>
      <rPr>
        <sz val="11"/>
        <color theme="1"/>
        <rFont val="游ゴシック"/>
        <family val="2"/>
        <charset val="128"/>
        <scheme val="minor"/>
      </rPr>
      <t>=0.134X+6.58</t>
    </r>
    <phoneticPr fontId="1"/>
  </si>
  <si>
    <t>Y=33.1×投入熱量(GJ/h)-102</t>
    <rPh sb="7" eb="9">
      <t>トウニュウ</t>
    </rPh>
    <rPh sb="9" eb="11">
      <t>ネツリョウ</t>
    </rPh>
    <phoneticPr fontId="1"/>
  </si>
  <si>
    <t>Y＝(0.213X+10.5)×稼働日数(日/年)×24(h/日)</t>
    <rPh sb="16" eb="18">
      <t>カドウ</t>
    </rPh>
    <rPh sb="18" eb="20">
      <t>ニッスウ</t>
    </rPh>
    <rPh sb="21" eb="22">
      <t>ニチ</t>
    </rPh>
    <rPh sb="23" eb="24">
      <t>ネン</t>
    </rPh>
    <rPh sb="31" eb="32">
      <t>ヒ</t>
    </rPh>
    <phoneticPr fontId="1"/>
  </si>
  <si>
    <t>Y=0.0150X+0.737</t>
    <phoneticPr fontId="1"/>
  </si>
  <si>
    <t>Y=0.0274X+1.35</t>
    <phoneticPr fontId="1"/>
  </si>
  <si>
    <t>総費用（年価換算値）※革新的技術（既設焼却炉1基に対してボイラ1基、タービン1基を追加設置する場合）</t>
    <rPh sb="0" eb="3">
      <t>ソウヒヨウ</t>
    </rPh>
    <rPh sb="4" eb="6">
      <t>ネンカ</t>
    </rPh>
    <rPh sb="6" eb="9">
      <t>カンサンチ</t>
    </rPh>
    <rPh sb="11" eb="14">
      <t>カクシンテキ</t>
    </rPh>
    <rPh sb="14" eb="16">
      <t>ギジュツ</t>
    </rPh>
    <rPh sb="17" eb="19">
      <t>キセツ</t>
    </rPh>
    <rPh sb="19" eb="22">
      <t>ショウキャクロ</t>
    </rPh>
    <rPh sb="23" eb="24">
      <t>キ</t>
    </rPh>
    <rPh sb="25" eb="26">
      <t>タイ</t>
    </rPh>
    <rPh sb="32" eb="33">
      <t>キ</t>
    </rPh>
    <rPh sb="39" eb="40">
      <t>キ</t>
    </rPh>
    <rPh sb="41" eb="43">
      <t>ツイカ</t>
    </rPh>
    <rPh sb="43" eb="45">
      <t>セッチ</t>
    </rPh>
    <rPh sb="47" eb="49">
      <t>バアイ</t>
    </rPh>
    <phoneticPr fontId="1"/>
  </si>
  <si>
    <r>
      <t>補助燃料種類</t>
    </r>
    <r>
      <rPr>
        <vertAlign val="superscript"/>
        <sz val="11"/>
        <rFont val="游ゴシック"/>
        <family val="3"/>
        <charset val="128"/>
        <scheme val="minor"/>
      </rPr>
      <t>※1</t>
    </r>
    <rPh sb="0" eb="2">
      <t>ホジョ</t>
    </rPh>
    <rPh sb="2" eb="4">
      <t>ネンリョウ</t>
    </rPh>
    <rPh sb="4" eb="6">
      <t>シュルイ</t>
    </rPh>
    <phoneticPr fontId="1"/>
  </si>
  <si>
    <r>
      <t>補助燃料使用量(m</t>
    </r>
    <r>
      <rPr>
        <vertAlign val="superscript"/>
        <sz val="11"/>
        <rFont val="游ゴシック"/>
        <family val="3"/>
        <charset val="128"/>
        <scheme val="minor"/>
      </rPr>
      <t>3</t>
    </r>
    <r>
      <rPr>
        <sz val="11"/>
        <rFont val="游ゴシック"/>
        <family val="3"/>
        <charset val="128"/>
        <scheme val="minor"/>
      </rPr>
      <t>/h)</t>
    </r>
    <r>
      <rPr>
        <vertAlign val="superscript"/>
        <sz val="11"/>
        <rFont val="游ゴシック"/>
        <family val="3"/>
        <charset val="128"/>
        <scheme val="minor"/>
      </rPr>
      <t>※1</t>
    </r>
    <rPh sb="0" eb="2">
      <t>ホジョ</t>
    </rPh>
    <rPh sb="2" eb="4">
      <t>ネンリョウ</t>
    </rPh>
    <rPh sb="4" eb="7">
      <t>シヨウリョウ</t>
    </rPh>
    <phoneticPr fontId="1"/>
  </si>
  <si>
    <t>※1 補助燃料種類及び使用量は検討処理場の実績値とする。消化ガス(バイオマス系燃料)は試算対象外である。</t>
    <rPh sb="17" eb="20">
      <t>ショリジョウ</t>
    </rPh>
    <phoneticPr fontId="1"/>
  </si>
  <si>
    <r>
      <t>単価</t>
    </r>
    <r>
      <rPr>
        <sz val="11"/>
        <color theme="1"/>
        <rFont val="游ゴシック"/>
        <family val="3"/>
        <charset val="128"/>
        <scheme val="minor"/>
      </rPr>
      <t>(</t>
    </r>
    <r>
      <rPr>
        <sz val="11"/>
        <color theme="1"/>
        <rFont val="游ゴシック"/>
        <family val="2"/>
        <charset val="128"/>
        <scheme val="minor"/>
      </rPr>
      <t>円/m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3"/>
        <charset val="128"/>
        <scheme val="minor"/>
      </rPr>
      <t>)</t>
    </r>
    <phoneticPr fontId="1"/>
  </si>
  <si>
    <r>
      <t>Y=補助燃料使用量(m</t>
    </r>
    <r>
      <rPr>
        <vertAlign val="superscript"/>
        <sz val="10"/>
        <rFont val="游ゴシック"/>
        <family val="3"/>
        <charset val="128"/>
        <scheme val="minor"/>
      </rPr>
      <t>3</t>
    </r>
    <r>
      <rPr>
        <sz val="10"/>
        <rFont val="游ゴシック"/>
        <family val="3"/>
        <charset val="128"/>
        <scheme val="minor"/>
      </rPr>
      <t>/h or L/h)×稼働日数(日/年)×24(h/日)×GHG排出量原単位(kg-CO</t>
    </r>
    <r>
      <rPr>
        <vertAlign val="subscript"/>
        <sz val="10"/>
        <rFont val="游ゴシック"/>
        <family val="3"/>
        <charset val="128"/>
        <scheme val="minor"/>
      </rPr>
      <t>2</t>
    </r>
    <r>
      <rPr>
        <sz val="10"/>
        <rFont val="游ゴシック"/>
        <family val="3"/>
        <charset val="128"/>
        <scheme val="minor"/>
      </rPr>
      <t>/m</t>
    </r>
    <r>
      <rPr>
        <vertAlign val="superscript"/>
        <sz val="10"/>
        <rFont val="游ゴシック"/>
        <family val="3"/>
        <charset val="128"/>
        <scheme val="minor"/>
      </rPr>
      <t>3</t>
    </r>
    <r>
      <rPr>
        <sz val="10"/>
        <rFont val="游ゴシック"/>
        <family val="3"/>
        <charset val="128"/>
        <scheme val="minor"/>
      </rPr>
      <t xml:space="preserve"> or kg-CO</t>
    </r>
    <r>
      <rPr>
        <vertAlign val="subscript"/>
        <sz val="10"/>
        <rFont val="游ゴシック"/>
        <family val="3"/>
        <charset val="128"/>
        <scheme val="minor"/>
      </rPr>
      <t>2</t>
    </r>
    <r>
      <rPr>
        <sz val="10"/>
        <rFont val="游ゴシック"/>
        <family val="3"/>
        <charset val="128"/>
        <scheme val="minor"/>
      </rPr>
      <t>/L)×10</t>
    </r>
    <r>
      <rPr>
        <vertAlign val="superscript"/>
        <sz val="10"/>
        <rFont val="游ゴシック"/>
        <family val="3"/>
        <charset val="128"/>
        <scheme val="minor"/>
      </rPr>
      <t>-3</t>
    </r>
    <rPh sb="44" eb="46">
      <t>ハイシュツ</t>
    </rPh>
    <rPh sb="46" eb="47">
      <t>リョウ</t>
    </rPh>
    <phoneticPr fontId="1"/>
  </si>
  <si>
    <t>温室効果ガス(GHG)排出量原単位(自動入力)</t>
    <rPh sb="0" eb="2">
      <t>オンシツ</t>
    </rPh>
    <rPh sb="2" eb="4">
      <t>コウカ</t>
    </rPh>
    <rPh sb="11" eb="14">
      <t>ハイシュツリョウ</t>
    </rPh>
    <rPh sb="14" eb="17">
      <t>ゲンタンイ</t>
    </rPh>
    <rPh sb="18" eb="20">
      <t>ジドウ</t>
    </rPh>
    <rPh sb="20" eb="22">
      <t>ニュウリョク</t>
    </rPh>
    <phoneticPr fontId="1"/>
  </si>
  <si>
    <t>導入システム数</t>
    <rPh sb="0" eb="2">
      <t>ドウニュウ</t>
    </rPh>
    <rPh sb="6" eb="7">
      <t>スウ</t>
    </rPh>
    <phoneticPr fontId="1"/>
  </si>
  <si>
    <t>ブロワ消費電力量</t>
    <rPh sb="3" eb="5">
      <t>ショウヒ</t>
    </rPh>
    <rPh sb="5" eb="7">
      <t>デンリョク</t>
    </rPh>
    <rPh sb="7" eb="8">
      <t>リョウ</t>
    </rPh>
    <phoneticPr fontId="1"/>
  </si>
  <si>
    <t>消費電力量あたりのCO2排出量</t>
    <rPh sb="0" eb="2">
      <t>ショウヒ</t>
    </rPh>
    <rPh sb="2" eb="4">
      <t>デンリョク</t>
    </rPh>
    <rPh sb="4" eb="5">
      <t>リョウ</t>
    </rPh>
    <rPh sb="12" eb="14">
      <t>ハイシュツ</t>
    </rPh>
    <rPh sb="14" eb="15">
      <t>リョウ</t>
    </rPh>
    <phoneticPr fontId="1"/>
  </si>
  <si>
    <t>導入システム数あたりの建設費（監視制御の新設・更新）</t>
    <rPh sb="0" eb="2">
      <t>ドウニュウ</t>
    </rPh>
    <rPh sb="6" eb="7">
      <t>スウ</t>
    </rPh>
    <rPh sb="11" eb="14">
      <t>ケンセツヒ</t>
    </rPh>
    <rPh sb="15" eb="17">
      <t>カンシ</t>
    </rPh>
    <rPh sb="17" eb="19">
      <t>セイギョ</t>
    </rPh>
    <rPh sb="20" eb="22">
      <t>シンセツ</t>
    </rPh>
    <rPh sb="23" eb="25">
      <t>コウシン</t>
    </rPh>
    <phoneticPr fontId="1"/>
  </si>
  <si>
    <t>導入システム数あたりの建設費（既存設備の改造）</t>
    <rPh sb="0" eb="2">
      <t>ドウニュウ</t>
    </rPh>
    <rPh sb="6" eb="7">
      <t>スウ</t>
    </rPh>
    <rPh sb="11" eb="14">
      <t>ケンセツヒ</t>
    </rPh>
    <rPh sb="15" eb="17">
      <t>キゾン</t>
    </rPh>
    <rPh sb="17" eb="19">
      <t>セツビ</t>
    </rPh>
    <rPh sb="20" eb="22">
      <t>カイゾウ</t>
    </rPh>
    <phoneticPr fontId="1"/>
  </si>
  <si>
    <t>導入システム数あたりの維持管理費</t>
    <rPh sb="0" eb="2">
      <t>ドウニュウ</t>
    </rPh>
    <rPh sb="6" eb="7">
      <t>スウ</t>
    </rPh>
    <rPh sb="11" eb="13">
      <t>イジ</t>
    </rPh>
    <rPh sb="13" eb="16">
      <t>カンリヒ</t>
    </rPh>
    <phoneticPr fontId="1"/>
  </si>
  <si>
    <t>電力単価</t>
    <rPh sb="0" eb="2">
      <t>デンリョク</t>
    </rPh>
    <rPh sb="2" eb="4">
      <t>タンカ</t>
    </rPh>
    <phoneticPr fontId="1"/>
  </si>
  <si>
    <t>kg-CO2/kWh</t>
    <phoneticPr fontId="1"/>
  </si>
  <si>
    <t>導入システムに係らず固定の建設費（既存設備の改造）</t>
    <rPh sb="0" eb="2">
      <t>ドウニュウ</t>
    </rPh>
    <rPh sb="7" eb="8">
      <t>カカワ</t>
    </rPh>
    <rPh sb="10" eb="12">
      <t>コテイ</t>
    </rPh>
    <rPh sb="13" eb="16">
      <t>ケンセツヒ</t>
    </rPh>
    <rPh sb="17" eb="19">
      <t>キゾン</t>
    </rPh>
    <rPh sb="19" eb="21">
      <t>セツビ</t>
    </rPh>
    <rPh sb="22" eb="24">
      <t>カイゾウ</t>
    </rPh>
    <phoneticPr fontId="1"/>
  </si>
  <si>
    <t>円/kWh</t>
    <rPh sb="0" eb="1">
      <t>エン</t>
    </rPh>
    <phoneticPr fontId="1"/>
  </si>
  <si>
    <t>なし</t>
  </si>
  <si>
    <t>導入タイミング（監視制御の新設・更新時／既存設備の改造）</t>
    <rPh sb="0" eb="2">
      <t>ドウニュウ</t>
    </rPh>
    <rPh sb="8" eb="10">
      <t>カンシ</t>
    </rPh>
    <rPh sb="10" eb="12">
      <t>セイギョ</t>
    </rPh>
    <rPh sb="13" eb="15">
      <t>シンセツ</t>
    </rPh>
    <rPh sb="16" eb="18">
      <t>コウシン</t>
    </rPh>
    <rPh sb="18" eb="19">
      <t>ジ</t>
    </rPh>
    <rPh sb="20" eb="22">
      <t>キゾン</t>
    </rPh>
    <rPh sb="22" eb="24">
      <t>セツビ</t>
    </rPh>
    <rPh sb="25" eb="27">
      <t>カイゾウ</t>
    </rPh>
    <phoneticPr fontId="1"/>
  </si>
  <si>
    <t>-</t>
    <phoneticPr fontId="1"/>
  </si>
  <si>
    <t>総費用</t>
    <rPh sb="0" eb="3">
      <t>ソウヒヨウ</t>
    </rPh>
    <phoneticPr fontId="1"/>
  </si>
  <si>
    <t>区分</t>
    <rPh sb="0" eb="2">
      <t>クブン</t>
    </rPh>
    <phoneticPr fontId="1"/>
  </si>
  <si>
    <t>建設費</t>
    <rPh sb="0" eb="2">
      <t>ケンセツ</t>
    </rPh>
    <rPh sb="2" eb="3">
      <t>ヒ</t>
    </rPh>
    <phoneticPr fontId="1"/>
  </si>
  <si>
    <t>維持管理費</t>
    <rPh sb="0" eb="2">
      <t>イジ</t>
    </rPh>
    <rPh sb="2" eb="5">
      <t>カンリヒ</t>
    </rPh>
    <phoneticPr fontId="1"/>
  </si>
  <si>
    <t>電力削減費</t>
    <rPh sb="0" eb="2">
      <t>デンリョク</t>
    </rPh>
    <rPh sb="2" eb="4">
      <t>サクゲン</t>
    </rPh>
    <rPh sb="4" eb="5">
      <t>ヒ</t>
    </rPh>
    <phoneticPr fontId="1"/>
  </si>
  <si>
    <t>項目</t>
    <rPh sb="0" eb="2">
      <t>コウモク</t>
    </rPh>
    <phoneticPr fontId="1"/>
  </si>
  <si>
    <t>単位</t>
    <rPh sb="0" eb="2">
      <t>タンイ</t>
    </rPh>
    <phoneticPr fontId="1"/>
  </si>
  <si>
    <t>設定値</t>
    <rPh sb="0" eb="2">
      <t>セッテイ</t>
    </rPh>
    <rPh sb="2" eb="3">
      <t>チ</t>
    </rPh>
    <phoneticPr fontId="1"/>
  </si>
  <si>
    <t>百万円</t>
    <rPh sb="0" eb="3">
      <t>ヒャクマンエン</t>
    </rPh>
    <phoneticPr fontId="1"/>
  </si>
  <si>
    <t>百万円/年</t>
    <rPh sb="0" eb="3">
      <t>ヒャクマンエン</t>
    </rPh>
    <rPh sb="4" eb="5">
      <t>ネン</t>
    </rPh>
    <phoneticPr fontId="1"/>
  </si>
  <si>
    <t>硝化目標達成位置</t>
    <rPh sb="0" eb="2">
      <t>ショウカ</t>
    </rPh>
    <rPh sb="2" eb="4">
      <t>モクヒョウ</t>
    </rPh>
    <rPh sb="4" eb="6">
      <t>タッセイ</t>
    </rPh>
    <rPh sb="6" eb="8">
      <t>イチ</t>
    </rPh>
    <phoneticPr fontId="1"/>
  </si>
  <si>
    <t>風量削減率</t>
    <rPh sb="0" eb="2">
      <t>フウリョウ</t>
    </rPh>
    <rPh sb="2" eb="4">
      <t>サクゲン</t>
    </rPh>
    <rPh sb="4" eb="5">
      <t>リツ</t>
    </rPh>
    <phoneticPr fontId="1"/>
  </si>
  <si>
    <t>%</t>
    <phoneticPr fontId="1"/>
  </si>
  <si>
    <t>関数</t>
    <rPh sb="0" eb="2">
      <t>カンスウ</t>
    </rPh>
    <phoneticPr fontId="1"/>
  </si>
  <si>
    <t>導入システム数×137万円/年</t>
    <rPh sb="0" eb="2">
      <t>ドウニュウ</t>
    </rPh>
    <rPh sb="6" eb="7">
      <t>スウ</t>
    </rPh>
    <rPh sb="11" eb="13">
      <t>マンエン</t>
    </rPh>
    <rPh sb="14" eb="15">
      <t>ネン</t>
    </rPh>
    <phoneticPr fontId="1"/>
  </si>
  <si>
    <t>備考</t>
    <rPh sb="0" eb="2">
      <t>ビコウ</t>
    </rPh>
    <phoneticPr fontId="1"/>
  </si>
  <si>
    <t>処理プロセスの変更・処理水NH4-N目標値の強化</t>
    <rPh sb="0" eb="2">
      <t>ショリ</t>
    </rPh>
    <rPh sb="7" eb="9">
      <t>ヘンコウ</t>
    </rPh>
    <rPh sb="10" eb="12">
      <t>ショリ</t>
    </rPh>
    <rPh sb="12" eb="13">
      <t>スイ</t>
    </rPh>
    <rPh sb="18" eb="21">
      <t>モクヒョウチ</t>
    </rPh>
    <rPh sb="22" eb="24">
      <t>キョウカ</t>
    </rPh>
    <phoneticPr fontId="1"/>
  </si>
  <si>
    <t>●導入タイミング：監視制御の新設・更新時
　y = 導入システム数×1850万円
●導入タイミング：既存設備の改造
　y = 導入システム数×2850万円+2700万円</t>
    <rPh sb="1" eb="3">
      <t>ドウニュウ</t>
    </rPh>
    <rPh sb="9" eb="11">
      <t>カンシ</t>
    </rPh>
    <rPh sb="11" eb="13">
      <t>セイギョ</t>
    </rPh>
    <rPh sb="14" eb="16">
      <t>シンセツ</t>
    </rPh>
    <rPh sb="17" eb="19">
      <t>コウシン</t>
    </rPh>
    <rPh sb="19" eb="20">
      <t>ジ</t>
    </rPh>
    <rPh sb="26" eb="28">
      <t>ドウニュウ</t>
    </rPh>
    <rPh sb="32" eb="33">
      <t>スウ</t>
    </rPh>
    <rPh sb="38" eb="40">
      <t>マンエン</t>
    </rPh>
    <rPh sb="42" eb="44">
      <t>ドウニュウ</t>
    </rPh>
    <rPh sb="50" eb="52">
      <t>キゾン</t>
    </rPh>
    <rPh sb="52" eb="54">
      <t>セツビ</t>
    </rPh>
    <rPh sb="55" eb="57">
      <t>カイゾウ</t>
    </rPh>
    <rPh sb="63" eb="65">
      <t>ドウニュウ</t>
    </rPh>
    <rPh sb="69" eb="70">
      <t>スウ</t>
    </rPh>
    <rPh sb="75" eb="77">
      <t>マンエン</t>
    </rPh>
    <rPh sb="82" eb="84">
      <t>マンエン</t>
    </rPh>
    <phoneticPr fontId="1"/>
  </si>
  <si>
    <t>●処理プロセスの変更・処理水NH4-N目標値の強化：なし
　y ＝ 0.51×硝化目標達成位置(%)
●処理プロセスの変更・処理水NH4-N目標値の強化：あり
　y ＝ 16.9%</t>
    <rPh sb="1" eb="3">
      <t>ショリ</t>
    </rPh>
    <rPh sb="8" eb="10">
      <t>ヘンコウ</t>
    </rPh>
    <rPh sb="11" eb="13">
      <t>ショリ</t>
    </rPh>
    <rPh sb="13" eb="14">
      <t>スイ</t>
    </rPh>
    <rPh sb="19" eb="22">
      <t>モクヒョウチ</t>
    </rPh>
    <rPh sb="23" eb="25">
      <t>キョウカ</t>
    </rPh>
    <rPh sb="39" eb="41">
      <t>ショウカ</t>
    </rPh>
    <rPh sb="41" eb="43">
      <t>モクヒョウ</t>
    </rPh>
    <rPh sb="43" eb="45">
      <t>タッセイ</t>
    </rPh>
    <rPh sb="45" eb="47">
      <t>イチ</t>
    </rPh>
    <phoneticPr fontId="1"/>
  </si>
  <si>
    <t>電力削減量</t>
    <rPh sb="0" eb="2">
      <t>デンリョク</t>
    </rPh>
    <rPh sb="2" eb="4">
      <t>サクゲン</t>
    </rPh>
    <rPh sb="4" eb="5">
      <t>リョウ</t>
    </rPh>
    <phoneticPr fontId="1"/>
  </si>
  <si>
    <t>電力原単位</t>
    <rPh sb="0" eb="2">
      <t>デンリョク</t>
    </rPh>
    <rPh sb="2" eb="5">
      <t>ゲンタンイ</t>
    </rPh>
    <phoneticPr fontId="1"/>
  </si>
  <si>
    <t>kWh/m3</t>
    <phoneticPr fontId="1"/>
  </si>
  <si>
    <t>m3/日</t>
    <rPh sb="3" eb="4">
      <t>ニチ</t>
    </rPh>
    <phoneticPr fontId="1"/>
  </si>
  <si>
    <t>kWh/日</t>
    <rPh sb="4" eb="5">
      <t>ニチ</t>
    </rPh>
    <phoneticPr fontId="1"/>
  </si>
  <si>
    <t xml:space="preserve">　y = ブロワ消費電力量(kWh/日) / 風量(m3/日) </t>
    <rPh sb="8" eb="10">
      <t>ショウヒ</t>
    </rPh>
    <rPh sb="10" eb="12">
      <t>デンリョク</t>
    </rPh>
    <rPh sb="12" eb="13">
      <t>リョウ</t>
    </rPh>
    <rPh sb="18" eb="19">
      <t>ニチ</t>
    </rPh>
    <rPh sb="23" eb="25">
      <t>フウリョウ</t>
    </rPh>
    <rPh sb="24" eb="25">
      <t>リョウ</t>
    </rPh>
    <rPh sb="29" eb="30">
      <t>ニチ</t>
    </rPh>
    <phoneticPr fontId="1"/>
  </si>
  <si>
    <t>数値</t>
    <rPh sb="0" eb="2">
      <t>スウチ</t>
    </rPh>
    <phoneticPr fontId="1"/>
  </si>
  <si>
    <t>導入効果</t>
    <rPh sb="0" eb="2">
      <t>ドウニュウ</t>
    </rPh>
    <rPh sb="2" eb="4">
      <t>コウカ</t>
    </rPh>
    <phoneticPr fontId="1"/>
  </si>
  <si>
    <t>NH4-Nセンサー設置工事費
硝化制御ソフトウェア実装費
監視制御システムのの改造費</t>
    <rPh sb="9" eb="11">
      <t>セッチ</t>
    </rPh>
    <rPh sb="11" eb="13">
      <t>コウジ</t>
    </rPh>
    <rPh sb="13" eb="14">
      <t>ヒ</t>
    </rPh>
    <rPh sb="15" eb="17">
      <t>ショウカ</t>
    </rPh>
    <rPh sb="17" eb="19">
      <t>セイギョ</t>
    </rPh>
    <rPh sb="25" eb="27">
      <t>ジッソウ</t>
    </rPh>
    <rPh sb="27" eb="28">
      <t>ヒ</t>
    </rPh>
    <rPh sb="29" eb="33">
      <t>カンシセイギョ</t>
    </rPh>
    <rPh sb="39" eb="41">
      <t>カイゾウ</t>
    </rPh>
    <rPh sb="41" eb="42">
      <t>ヒ</t>
    </rPh>
    <phoneticPr fontId="1"/>
  </si>
  <si>
    <t>NH4-Nセンサー点検・校正・消耗品</t>
    <rPh sb="9" eb="11">
      <t>テンケン</t>
    </rPh>
    <rPh sb="12" eb="14">
      <t>コウセイ</t>
    </rPh>
    <rPh sb="15" eb="17">
      <t>ショウモウ</t>
    </rPh>
    <rPh sb="17" eb="18">
      <t>ヒン</t>
    </rPh>
    <phoneticPr fontId="1"/>
  </si>
  <si>
    <t>年</t>
    <rPh sb="0" eb="1">
      <t>ネン</t>
    </rPh>
    <phoneticPr fontId="1"/>
  </si>
  <si>
    <t>温室効果ガス排出量削減効果</t>
    <rPh sb="0" eb="2">
      <t>オンシツ</t>
    </rPh>
    <rPh sb="2" eb="4">
      <t>コウカ</t>
    </rPh>
    <rPh sb="6" eb="8">
      <t>ハイシュツ</t>
    </rPh>
    <rPh sb="8" eb="9">
      <t>リョウ</t>
    </rPh>
    <rPh sb="9" eb="11">
      <t>サクゲン</t>
    </rPh>
    <rPh sb="11" eb="13">
      <t>コウカ</t>
    </rPh>
    <phoneticPr fontId="1"/>
  </si>
  <si>
    <t>　y = 建設費/(電力削減費 - 維持管理費)</t>
    <rPh sb="5" eb="7">
      <t>ケンセツ</t>
    </rPh>
    <rPh sb="7" eb="8">
      <t>ヒ</t>
    </rPh>
    <rPh sb="10" eb="12">
      <t>デンリョク</t>
    </rPh>
    <rPh sb="12" eb="14">
      <t>サクゲン</t>
    </rPh>
    <rPh sb="14" eb="15">
      <t>ヒ</t>
    </rPh>
    <rPh sb="18" eb="20">
      <t>イジ</t>
    </rPh>
    <rPh sb="20" eb="23">
      <t>カンリヒ</t>
    </rPh>
    <phoneticPr fontId="1"/>
  </si>
  <si>
    <t>従来</t>
    <rPh sb="0" eb="2">
      <t>ジュウライ</t>
    </rPh>
    <phoneticPr fontId="1"/>
  </si>
  <si>
    <t>電力由来のCO2排出量</t>
    <rPh sb="0" eb="2">
      <t>デンリョク</t>
    </rPh>
    <rPh sb="2" eb="4">
      <t>ユライ</t>
    </rPh>
    <rPh sb="8" eb="10">
      <t>ハイシュツ</t>
    </rPh>
    <rPh sb="10" eb="11">
      <t>リョウ</t>
    </rPh>
    <phoneticPr fontId="1"/>
  </si>
  <si>
    <t>革新的技術</t>
    <rPh sb="0" eb="2">
      <t>カクシン</t>
    </rPh>
    <rPh sb="2" eb="3">
      <t>テキ</t>
    </rPh>
    <rPh sb="3" eb="5">
      <t>ギジュツ</t>
    </rPh>
    <phoneticPr fontId="1"/>
  </si>
  <si>
    <t>kg-CO2/日</t>
    <rPh sb="7" eb="8">
      <t>ニチ</t>
    </rPh>
    <phoneticPr fontId="1"/>
  </si>
  <si>
    <t>　y = 消費電力量あたりのCO2排出量(kg-CO2/kWh)×ブロワ消費電力量 (kWh/日)</t>
    <rPh sb="5" eb="7">
      <t>ショウヒ</t>
    </rPh>
    <rPh sb="7" eb="9">
      <t>デンリョク</t>
    </rPh>
    <rPh sb="9" eb="10">
      <t>リョウ</t>
    </rPh>
    <rPh sb="17" eb="19">
      <t>ハイシュツ</t>
    </rPh>
    <rPh sb="19" eb="20">
      <t>リョウ</t>
    </rPh>
    <rPh sb="36" eb="38">
      <t>ショウヒ</t>
    </rPh>
    <rPh sb="38" eb="40">
      <t>デンリョク</t>
    </rPh>
    <rPh sb="40" eb="41">
      <t>リョウ</t>
    </rPh>
    <rPh sb="47" eb="48">
      <t>ニチ</t>
    </rPh>
    <phoneticPr fontId="1"/>
  </si>
  <si>
    <t>　y = 電力原単位(kWh/m3)×風量(m3/日)×風量削減率(-)</t>
    <rPh sb="5" eb="7">
      <t>デンリョク</t>
    </rPh>
    <rPh sb="7" eb="10">
      <t>ゲンタンイ</t>
    </rPh>
    <rPh sb="19" eb="21">
      <t>フウリョウ</t>
    </rPh>
    <rPh sb="20" eb="21">
      <t>リョウ</t>
    </rPh>
    <rPh sb="25" eb="26">
      <t>ニチ</t>
    </rPh>
    <rPh sb="28" eb="30">
      <t>フウリョウ</t>
    </rPh>
    <rPh sb="30" eb="32">
      <t>サクゲン</t>
    </rPh>
    <rPh sb="32" eb="33">
      <t>リツ</t>
    </rPh>
    <phoneticPr fontId="1"/>
  </si>
  <si>
    <t>　y = 電力削減量(kWh/年)×電力単価(円/kWh) ×365 / 10^6</t>
    <rPh sb="5" eb="7">
      <t>デンリョク</t>
    </rPh>
    <rPh sb="7" eb="9">
      <t>サクゲン</t>
    </rPh>
    <rPh sb="9" eb="10">
      <t>リョウ</t>
    </rPh>
    <rPh sb="15" eb="16">
      <t>ネン</t>
    </rPh>
    <rPh sb="18" eb="20">
      <t>デンリョク</t>
    </rPh>
    <rPh sb="20" eb="22">
      <t>タンカ</t>
    </rPh>
    <rPh sb="23" eb="24">
      <t>エン</t>
    </rPh>
    <phoneticPr fontId="1"/>
  </si>
  <si>
    <t>電力原単位からの算出する方法を記載。
ブロワ性能曲線(風量と軸動力の関係)を基に、現在の各ブロワの風量における軸動力、また風量削減後の風量での軸動力を求め、電力削減量を算出することも可</t>
    <rPh sb="0" eb="2">
      <t>デンリョク</t>
    </rPh>
    <rPh sb="2" eb="5">
      <t>ゲンタンイ</t>
    </rPh>
    <rPh sb="8" eb="10">
      <t>サンシュツ</t>
    </rPh>
    <rPh sb="12" eb="14">
      <t>ホウホウ</t>
    </rPh>
    <rPh sb="15" eb="17">
      <t>キサイ</t>
    </rPh>
    <rPh sb="22" eb="24">
      <t>セイノウ</t>
    </rPh>
    <rPh sb="24" eb="26">
      <t>キョクセン</t>
    </rPh>
    <rPh sb="27" eb="29">
      <t>フウリョウ</t>
    </rPh>
    <rPh sb="30" eb="31">
      <t>ジク</t>
    </rPh>
    <rPh sb="31" eb="33">
      <t>ドウリョク</t>
    </rPh>
    <rPh sb="34" eb="36">
      <t>カンケイ</t>
    </rPh>
    <rPh sb="38" eb="39">
      <t>モト</t>
    </rPh>
    <rPh sb="41" eb="43">
      <t>ゲンザイ</t>
    </rPh>
    <rPh sb="44" eb="45">
      <t>カク</t>
    </rPh>
    <rPh sb="49" eb="51">
      <t>フウリョウ</t>
    </rPh>
    <rPh sb="55" eb="56">
      <t>ジク</t>
    </rPh>
    <rPh sb="56" eb="58">
      <t>ドウリョク</t>
    </rPh>
    <rPh sb="61" eb="63">
      <t>フウリョウ</t>
    </rPh>
    <rPh sb="63" eb="65">
      <t>サクゲン</t>
    </rPh>
    <rPh sb="65" eb="66">
      <t>ゴ</t>
    </rPh>
    <rPh sb="67" eb="69">
      <t>フウリョウ</t>
    </rPh>
    <rPh sb="71" eb="72">
      <t>ジク</t>
    </rPh>
    <rPh sb="72" eb="74">
      <t>ドウリョク</t>
    </rPh>
    <rPh sb="75" eb="76">
      <t>モト</t>
    </rPh>
    <rPh sb="78" eb="83">
      <t>デンリョクサクゲンリョウ</t>
    </rPh>
    <rPh sb="84" eb="86">
      <t>サンシュツ</t>
    </rPh>
    <rPh sb="91" eb="92">
      <t>カ</t>
    </rPh>
    <phoneticPr fontId="1"/>
  </si>
  <si>
    <t>●処理プロセスの変更・処理水NH4-N目標値の強化：なし
 　風量削減率試算式（実証研究結果により構築）に基づき、硝化目標達成位置から算出
●処理プロセスの変更・処理水NH4-N目標値の強化：あり
 　風量の増減予測が困難、もしくは風量が増加するため、DO一定制御に対する適用効果として、実証実験値16.9%を暫定的に適用</t>
    <rPh sb="31" eb="33">
      <t>フウリョウ</t>
    </rPh>
    <rPh sb="33" eb="35">
      <t>サクゲン</t>
    </rPh>
    <rPh sb="35" eb="36">
      <t>リツ</t>
    </rPh>
    <rPh sb="36" eb="38">
      <t>シサン</t>
    </rPh>
    <rPh sb="38" eb="39">
      <t>シキ</t>
    </rPh>
    <rPh sb="40" eb="42">
      <t>ジッショウ</t>
    </rPh>
    <rPh sb="42" eb="44">
      <t>ケンキュウ</t>
    </rPh>
    <rPh sb="44" eb="46">
      <t>ケッカ</t>
    </rPh>
    <rPh sb="49" eb="51">
      <t>コウチク</t>
    </rPh>
    <rPh sb="53" eb="54">
      <t>モト</t>
    </rPh>
    <rPh sb="57" eb="65">
      <t>ショウカモクヒョウタッセイイチ</t>
    </rPh>
    <rPh sb="67" eb="69">
      <t>サンシュツ</t>
    </rPh>
    <rPh sb="69" eb="71">
      <t>セイギョ</t>
    </rPh>
    <rPh sb="72" eb="73">
      <t>タイ</t>
    </rPh>
    <rPh sb="75" eb="77">
      <t>テキヨウ</t>
    </rPh>
    <rPh sb="77" eb="79">
      <t>コウカ</t>
    </rPh>
    <rPh sb="83" eb="85">
      <t>ジッショウ</t>
    </rPh>
    <rPh sb="85" eb="87">
      <t>ジッケン</t>
    </rPh>
    <rPh sb="87" eb="88">
      <t>チ</t>
    </rPh>
    <rPh sb="94" eb="97">
      <t>ザンテイテキ</t>
    </rPh>
    <rPh sb="98" eb="100">
      <t>テキヨウ</t>
    </rPh>
    <phoneticPr fontId="1"/>
  </si>
  <si>
    <t>新設・更新時</t>
  </si>
  <si>
    <t>%</t>
    <phoneticPr fontId="1"/>
  </si>
  <si>
    <t>係数はガイドライン（案）記載の標準値。設備の仕様によって変更</t>
    <rPh sb="0" eb="2">
      <t>ケイスウ</t>
    </rPh>
    <rPh sb="10" eb="11">
      <t>アン</t>
    </rPh>
    <rPh sb="12" eb="14">
      <t>キサイ</t>
    </rPh>
    <rPh sb="15" eb="18">
      <t>ヒョウジュンチ</t>
    </rPh>
    <rPh sb="19" eb="21">
      <t>セツビ</t>
    </rPh>
    <rPh sb="22" eb="24">
      <t>シヨウ</t>
    </rPh>
    <rPh sb="28" eb="30">
      <t>ヘンコウ</t>
    </rPh>
    <phoneticPr fontId="1"/>
  </si>
  <si>
    <t>対象反応槽に係る風量</t>
    <rPh sb="0" eb="2">
      <t>タイショウ</t>
    </rPh>
    <rPh sb="2" eb="4">
      <t>ハンノウ</t>
    </rPh>
    <rPh sb="4" eb="5">
      <t>ソウ</t>
    </rPh>
    <rPh sb="6" eb="7">
      <t>カカ</t>
    </rPh>
    <rPh sb="8" eb="10">
      <t>フウリョウ</t>
    </rPh>
    <phoneticPr fontId="1"/>
  </si>
  <si>
    <t>試算において、過剰曝気（風量削減余地）を表す指標。
好気タンク内において、NH4-N 濃度が処理水NH4-N 目標値に到達した位置であり、全好気タンクのうち、目標値到達位置以降の好気タンクの長さの割合で表す。NH4-N処理実態の調査結果より算出する。
算出方法は、ガイドライン(案)P.51 第3章 導入検討 §19 導入効果の検討を参照。</t>
    <rPh sb="0" eb="2">
      <t>シサン</t>
    </rPh>
    <phoneticPr fontId="1"/>
  </si>
  <si>
    <t>硝化目標達成位置 (総費用表の「硝化目標達成位置」備考欄を参照）</t>
    <rPh sb="10" eb="11">
      <t>ソウ</t>
    </rPh>
    <rPh sb="11" eb="13">
      <t>ヒヨウ</t>
    </rPh>
    <rPh sb="13" eb="14">
      <t>ヒョウ</t>
    </rPh>
    <rPh sb="25" eb="27">
      <t>ビコウ</t>
    </rPh>
    <rPh sb="27" eb="28">
      <t>ラン</t>
    </rPh>
    <rPh sb="29" eb="31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</si>
</sst>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_ "/>
    <numFmt numFmtId="177" formatCode="0.00_ "/>
    <numFmt numFmtId="178" formatCode="0.0%"/>
    <numFmt numFmtId="179" formatCode="#,##0_ "/>
    <numFmt numFmtId="180" formatCode="0.0_ "/>
    <numFmt numFmtId="181" formatCode="#,##0.00_ "/>
    <numFmt numFmtId="182" formatCode="#,##0.000_ "/>
    <numFmt numFmtId="183" formatCode="#,##0_);[Red]\(#,##0\)"/>
    <numFmt numFmtId="184" formatCode="0.000_ 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vertAlign val="subscript"/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vertAlign val="superscript"/>
      <sz val="1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vertAlign val="subscript"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vertAlign val="superscript"/>
      <sz val="10"/>
      <name val="游ゴシック"/>
      <family val="3"/>
      <charset val="128"/>
      <scheme val="minor"/>
    </font>
    <font>
      <vertAlign val="subscript"/>
      <sz val="10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4F9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9" fontId="0" fillId="0" borderId="5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18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9" fontId="0" fillId="0" borderId="1" xfId="0" applyNumberFormat="1" applyBorder="1" applyAlignment="1">
      <alignment horizontal="center" vertical="center"/>
    </xf>
    <xf numFmtId="177" fontId="0" fillId="0" borderId="1" xfId="0" applyNumberForma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179" fontId="8" fillId="0" borderId="5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76" fontId="0" fillId="0" borderId="0" xfId="0" applyNumberFormat="1" applyBorder="1" applyAlignment="1">
      <alignment horizontal="center" vertical="center"/>
    </xf>
    <xf numFmtId="180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9" fontId="0" fillId="3" borderId="1" xfId="0" applyNumberForma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78" fontId="8" fillId="0" borderId="5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vertical="center"/>
    </xf>
    <xf numFmtId="178" fontId="8" fillId="0" borderId="1" xfId="0" applyNumberFormat="1" applyFont="1" applyBorder="1" applyAlignment="1">
      <alignment vertical="center"/>
    </xf>
    <xf numFmtId="181" fontId="0" fillId="0" borderId="1" xfId="0" applyNumberFormat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8" fontId="8" fillId="4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82" fontId="0" fillId="5" borderId="1" xfId="0" applyNumberFormat="1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81" fontId="0" fillId="5" borderId="1" xfId="0" applyNumberFormat="1" applyFill="1" applyBorder="1" applyAlignment="1">
      <alignment horizontal="center" vertical="center"/>
    </xf>
    <xf numFmtId="179" fontId="0" fillId="5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 wrapText="1"/>
    </xf>
    <xf numFmtId="183" fontId="0" fillId="3" borderId="1" xfId="0" applyNumberForma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>
      <alignment vertical="center"/>
    </xf>
    <xf numFmtId="184" fontId="0" fillId="0" borderId="1" xfId="0" applyNumberFormat="1" applyBorder="1" applyAlignment="1">
      <alignment horizontal="center" vertical="center"/>
    </xf>
    <xf numFmtId="18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8" fillId="0" borderId="2" xfId="0" applyNumberFormat="1" applyFont="1" applyBorder="1" applyAlignment="1">
      <alignment horizontal="center" vertical="center"/>
    </xf>
    <xf numFmtId="179" fontId="8" fillId="0" borderId="4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9" fontId="0" fillId="0" borderId="2" xfId="0" applyNumberFormat="1" applyFill="1" applyBorder="1" applyAlignment="1">
      <alignment horizontal="center" vertical="center"/>
    </xf>
    <xf numFmtId="179" fontId="0" fillId="0" borderId="4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81" fontId="0" fillId="0" borderId="2" xfId="0" applyNumberFormat="1" applyBorder="1" applyAlignment="1">
      <alignment horizontal="center" vertical="center"/>
    </xf>
    <xf numFmtId="181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179" fontId="7" fillId="0" borderId="2" xfId="0" applyNumberFormat="1" applyFont="1" applyBorder="1" applyAlignment="1">
      <alignment horizontal="center" vertical="center"/>
    </xf>
    <xf numFmtId="179" fontId="7" fillId="0" borderId="4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82" fontId="0" fillId="0" borderId="2" xfId="0" applyNumberFormat="1" applyBorder="1" applyAlignment="1">
      <alignment horizontal="center" vertical="center"/>
    </xf>
    <xf numFmtId="182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80" fontId="0" fillId="0" borderId="5" xfId="0" applyNumberFormat="1" applyFill="1" applyBorder="1" applyAlignment="1">
      <alignment horizontal="center" vertical="center"/>
    </xf>
    <xf numFmtId="180" fontId="0" fillId="0" borderId="6" xfId="0" applyNumberFormat="1" applyFill="1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4F9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518193</xdr:colOff>
      <xdr:row>3</xdr:row>
      <xdr:rowOff>81642</xdr:rowOff>
    </xdr:from>
    <xdr:to>
      <xdr:col>7</xdr:col>
      <xdr:colOff>2486025</xdr:colOff>
      <xdr:row>5</xdr:row>
      <xdr:rowOff>184657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7185693" y="966907"/>
          <a:ext cx="7559567" cy="573662"/>
          <a:chOff x="2763371" y="120093"/>
          <a:chExt cx="3075454" cy="539051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2763371" y="179764"/>
            <a:ext cx="493059" cy="156882"/>
          </a:xfrm>
          <a:prstGeom prst="rect">
            <a:avLst/>
          </a:prstGeom>
          <a:solidFill>
            <a:srgbClr val="D4F9FE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05174" y="120093"/>
            <a:ext cx="2533651" cy="2762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1148" rIns="0" bIns="0" anchor="t" upright="1"/>
          <a:lstStyle/>
          <a:p>
            <a:pPr algn="l" rtl="0">
              <a:lnSpc>
                <a:spcPts val="17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：手入力またはプルダウンで選択</a:t>
            </a: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AA5DCE64-D756-4581-AADD-A0BFC6CEBDFD}"/>
              </a:ext>
            </a:extLst>
          </xdr:cNvPr>
          <xdr:cNvSpPr/>
        </xdr:nvSpPr>
        <xdr:spPr>
          <a:xfrm>
            <a:off x="2763371" y="442590"/>
            <a:ext cx="493059" cy="156882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Text Box 4">
            <a:extLst>
              <a:ext uri="{FF2B5EF4-FFF2-40B4-BE49-F238E27FC236}">
                <a16:creationId xmlns:a16="http://schemas.microsoft.com/office/drawing/2014/main" id="{9524C8F9-381E-4D64-AFF7-060BE62509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05174" y="382919"/>
            <a:ext cx="2533651" cy="2762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1148" rIns="0" bIns="0" anchor="t" upright="1"/>
          <a:lstStyle/>
          <a:p>
            <a:pPr algn="l" rtl="0">
              <a:lnSpc>
                <a:spcPts val="17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：標準値（変更可）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2057400</xdr:colOff>
      <xdr:row>9</xdr:row>
      <xdr:rowOff>152400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353425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</xdr:col>
      <xdr:colOff>201146</xdr:colOff>
      <xdr:row>0</xdr:row>
      <xdr:rowOff>120463</xdr:rowOff>
    </xdr:from>
    <xdr:to>
      <xdr:col>4</xdr:col>
      <xdr:colOff>352425</xdr:colOff>
      <xdr:row>0</xdr:row>
      <xdr:rowOff>392206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2632822" y="120463"/>
          <a:ext cx="3076015" cy="271743"/>
          <a:chOff x="2763371" y="120093"/>
          <a:chExt cx="3075454" cy="276225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763371" y="184336"/>
            <a:ext cx="493059" cy="156882"/>
          </a:xfrm>
          <a:prstGeom prst="rect">
            <a:avLst/>
          </a:prstGeom>
          <a:solidFill>
            <a:srgbClr val="D4F9FE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28" name="Text Box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05175" y="120093"/>
            <a:ext cx="2533650" cy="2762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1148" rIns="0" bIns="0" anchor="t" upright="1"/>
          <a:lstStyle/>
          <a:p>
            <a:pPr algn="l" rtl="0">
              <a:lnSpc>
                <a:spcPts val="17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：手入力またはプルダウンで選択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33"/>
  <sheetViews>
    <sheetView tabSelected="1" zoomScale="85" zoomScaleNormal="85" workbookViewId="0"/>
  </sheetViews>
  <sheetFormatPr defaultRowHeight="18.75" x14ac:dyDescent="0.4"/>
  <cols>
    <col min="1" max="1" width="1.625" customWidth="1"/>
    <col min="2" max="2" width="19.75" bestFit="1" customWidth="1"/>
    <col min="3" max="3" width="38.125" customWidth="1"/>
    <col min="4" max="4" width="13" bestFit="1" customWidth="1"/>
    <col min="5" max="5" width="15.125" bestFit="1" customWidth="1"/>
    <col min="6" max="6" width="62.125" customWidth="1"/>
    <col min="7" max="7" width="11.25" style="85" customWidth="1"/>
    <col min="8" max="8" width="77.5" bestFit="1" customWidth="1"/>
  </cols>
  <sheetData>
    <row r="2" spans="2:7" ht="33" x14ac:dyDescent="0.4">
      <c r="B2" s="19" t="s">
        <v>78</v>
      </c>
      <c r="C2" s="19"/>
      <c r="D2" s="83"/>
      <c r="E2" s="45"/>
    </row>
    <row r="3" spans="2:7" x14ac:dyDescent="0.4">
      <c r="B3" s="108" t="s">
        <v>20</v>
      </c>
      <c r="C3" s="109"/>
      <c r="D3" s="18" t="s">
        <v>244</v>
      </c>
      <c r="E3" s="43" t="s">
        <v>245</v>
      </c>
      <c r="G3" s="91"/>
    </row>
    <row r="4" spans="2:7" x14ac:dyDescent="0.4">
      <c r="B4" s="108" t="s">
        <v>254</v>
      </c>
      <c r="C4" s="109"/>
      <c r="D4" s="18" t="s">
        <v>237</v>
      </c>
      <c r="E4" s="61" t="s">
        <v>235</v>
      </c>
      <c r="G4" s="91"/>
    </row>
    <row r="5" spans="2:7" x14ac:dyDescent="0.4">
      <c r="B5" s="108" t="s">
        <v>236</v>
      </c>
      <c r="C5" s="109"/>
      <c r="D5" s="18" t="s">
        <v>237</v>
      </c>
      <c r="E5" s="61" t="s">
        <v>279</v>
      </c>
    </row>
    <row r="6" spans="2:7" x14ac:dyDescent="0.4">
      <c r="B6" s="108" t="s">
        <v>225</v>
      </c>
      <c r="C6" s="109"/>
      <c r="D6" s="18" t="s">
        <v>237</v>
      </c>
      <c r="E6" s="62">
        <v>1</v>
      </c>
    </row>
    <row r="7" spans="2:7" x14ac:dyDescent="0.4">
      <c r="B7" s="108" t="s">
        <v>282</v>
      </c>
      <c r="C7" s="109"/>
      <c r="D7" s="18" t="s">
        <v>260</v>
      </c>
      <c r="E7" s="92">
        <v>405000</v>
      </c>
    </row>
    <row r="8" spans="2:7" x14ac:dyDescent="0.4">
      <c r="B8" s="108" t="s">
        <v>226</v>
      </c>
      <c r="C8" s="109"/>
      <c r="D8" s="18" t="s">
        <v>261</v>
      </c>
      <c r="E8" s="92">
        <v>10200</v>
      </c>
    </row>
    <row r="9" spans="2:7" x14ac:dyDescent="0.4">
      <c r="B9" s="108" t="s">
        <v>284</v>
      </c>
      <c r="C9" s="109"/>
      <c r="D9" s="18" t="s">
        <v>280</v>
      </c>
      <c r="E9" s="100">
        <v>0.36</v>
      </c>
      <c r="G9" s="99"/>
    </row>
    <row r="10" spans="2:7" x14ac:dyDescent="0.4">
      <c r="B10" s="108" t="s">
        <v>227</v>
      </c>
      <c r="C10" s="109"/>
      <c r="D10" s="18" t="s">
        <v>232</v>
      </c>
      <c r="E10" s="86">
        <v>0.57899999999999996</v>
      </c>
    </row>
    <row r="11" spans="2:7" x14ac:dyDescent="0.4">
      <c r="B11" s="110" t="s">
        <v>228</v>
      </c>
      <c r="C11" s="111"/>
      <c r="D11" s="90" t="s">
        <v>25</v>
      </c>
      <c r="E11" s="87">
        <v>18.5</v>
      </c>
    </row>
    <row r="12" spans="2:7" x14ac:dyDescent="0.4">
      <c r="B12" s="110" t="s">
        <v>229</v>
      </c>
      <c r="C12" s="111"/>
      <c r="D12" s="90" t="s">
        <v>25</v>
      </c>
      <c r="E12" s="87">
        <v>28.5</v>
      </c>
    </row>
    <row r="13" spans="2:7" x14ac:dyDescent="0.4">
      <c r="B13" s="110" t="s">
        <v>233</v>
      </c>
      <c r="C13" s="111"/>
      <c r="D13" s="90" t="s">
        <v>25</v>
      </c>
      <c r="E13" s="87">
        <v>27</v>
      </c>
    </row>
    <row r="14" spans="2:7" x14ac:dyDescent="0.4">
      <c r="B14" s="110" t="s">
        <v>230</v>
      </c>
      <c r="C14" s="111"/>
      <c r="D14" s="90" t="s">
        <v>26</v>
      </c>
      <c r="E14" s="88">
        <v>1.37</v>
      </c>
    </row>
    <row r="15" spans="2:7" x14ac:dyDescent="0.4">
      <c r="B15" s="110" t="s">
        <v>231</v>
      </c>
      <c r="C15" s="111"/>
      <c r="D15" s="90" t="s">
        <v>234</v>
      </c>
      <c r="E15" s="89">
        <v>15</v>
      </c>
    </row>
    <row r="17" spans="2:8" ht="33" x14ac:dyDescent="0.4">
      <c r="B17" s="19" t="s">
        <v>238</v>
      </c>
      <c r="C17" s="19"/>
    </row>
    <row r="18" spans="2:8" x14ac:dyDescent="0.4">
      <c r="B18" s="90" t="s">
        <v>239</v>
      </c>
      <c r="C18" s="90" t="s">
        <v>243</v>
      </c>
      <c r="D18" s="90" t="s">
        <v>244</v>
      </c>
      <c r="E18" s="106" t="s">
        <v>251</v>
      </c>
      <c r="F18" s="106"/>
      <c r="G18" s="84" t="s">
        <v>263</v>
      </c>
      <c r="H18" s="90" t="s">
        <v>253</v>
      </c>
    </row>
    <row r="19" spans="2:8" ht="96.75" customHeight="1" x14ac:dyDescent="0.4">
      <c r="B19" s="90" t="s">
        <v>240</v>
      </c>
      <c r="C19" s="95" t="s">
        <v>265</v>
      </c>
      <c r="D19" s="90" t="s">
        <v>246</v>
      </c>
      <c r="E19" s="105" t="s">
        <v>255</v>
      </c>
      <c r="F19" s="102"/>
      <c r="G19" s="84">
        <f>IF(E5="新設・更新時",E6*E11,IF(E5="既存設備の改造",E6*E12+E13,""))</f>
        <v>18.5</v>
      </c>
      <c r="H19" s="90" t="s">
        <v>281</v>
      </c>
    </row>
    <row r="20" spans="2:8" x14ac:dyDescent="0.4">
      <c r="B20" s="90" t="s">
        <v>241</v>
      </c>
      <c r="C20" s="90" t="s">
        <v>266</v>
      </c>
      <c r="D20" s="90" t="s">
        <v>247</v>
      </c>
      <c r="E20" s="102" t="s">
        <v>252</v>
      </c>
      <c r="F20" s="102"/>
      <c r="G20" s="84">
        <f>E6*E14</f>
        <v>1.37</v>
      </c>
      <c r="H20" s="90" t="s">
        <v>237</v>
      </c>
    </row>
    <row r="21" spans="2:8" ht="93.75" x14ac:dyDescent="0.4">
      <c r="B21" s="102" t="s">
        <v>264</v>
      </c>
      <c r="C21" s="90" t="s">
        <v>248</v>
      </c>
      <c r="D21" s="90" t="s">
        <v>237</v>
      </c>
      <c r="E21" s="102" t="s">
        <v>237</v>
      </c>
      <c r="F21" s="102"/>
      <c r="G21" s="101">
        <f>+E9</f>
        <v>0.36</v>
      </c>
      <c r="H21" s="95" t="s">
        <v>283</v>
      </c>
    </row>
    <row r="22" spans="2:8" ht="105.75" customHeight="1" x14ac:dyDescent="0.4">
      <c r="B22" s="102"/>
      <c r="C22" s="90" t="s">
        <v>249</v>
      </c>
      <c r="D22" s="90" t="s">
        <v>237</v>
      </c>
      <c r="E22" s="105" t="s">
        <v>256</v>
      </c>
      <c r="F22" s="102"/>
      <c r="G22" s="93">
        <f>IF(E4="あり",0.169,E9*0.51)</f>
        <v>0.18359999999999999</v>
      </c>
      <c r="H22" s="95" t="s">
        <v>278</v>
      </c>
    </row>
    <row r="23" spans="2:8" x14ac:dyDescent="0.4">
      <c r="B23" s="102"/>
      <c r="C23" s="90" t="s">
        <v>258</v>
      </c>
      <c r="D23" s="90" t="s">
        <v>259</v>
      </c>
      <c r="E23" s="102" t="s">
        <v>262</v>
      </c>
      <c r="F23" s="102"/>
      <c r="G23" s="97">
        <f>E8/E7</f>
        <v>2.5185185185185185E-2</v>
      </c>
      <c r="H23" s="90" t="s">
        <v>237</v>
      </c>
    </row>
    <row r="24" spans="2:8" ht="56.25" x14ac:dyDescent="0.4">
      <c r="B24" s="102"/>
      <c r="C24" s="90" t="s">
        <v>257</v>
      </c>
      <c r="D24" s="90" t="s">
        <v>261</v>
      </c>
      <c r="E24" s="102" t="s">
        <v>275</v>
      </c>
      <c r="F24" s="102"/>
      <c r="G24" s="26">
        <f>G23*E7*G22</f>
        <v>1872.7199999999998</v>
      </c>
      <c r="H24" s="95" t="s">
        <v>277</v>
      </c>
    </row>
    <row r="25" spans="2:8" x14ac:dyDescent="0.4">
      <c r="B25" s="102"/>
      <c r="C25" s="90" t="s">
        <v>242</v>
      </c>
      <c r="D25" s="90" t="s">
        <v>247</v>
      </c>
      <c r="E25" s="102" t="s">
        <v>276</v>
      </c>
      <c r="F25" s="102"/>
      <c r="G25" s="94">
        <f>G24*E15*10^-6*365</f>
        <v>10.253141999999999</v>
      </c>
      <c r="H25" s="90" t="s">
        <v>237</v>
      </c>
    </row>
    <row r="26" spans="2:8" ht="30" x14ac:dyDescent="0.4">
      <c r="B26" s="103" t="s">
        <v>22</v>
      </c>
      <c r="C26" s="104"/>
      <c r="D26" s="90" t="s">
        <v>267</v>
      </c>
      <c r="E26" s="102" t="s">
        <v>269</v>
      </c>
      <c r="F26" s="102"/>
      <c r="G26" s="94">
        <f>IF(G19/(G25-G20) &gt;=0, G19/(G25-G20), "回収不可")</f>
        <v>2.0825964506702697</v>
      </c>
      <c r="H26" s="90" t="s">
        <v>237</v>
      </c>
    </row>
    <row r="27" spans="2:8" ht="30" customHeight="1" x14ac:dyDescent="0.4"/>
    <row r="28" spans="2:8" ht="33" x14ac:dyDescent="0.4">
      <c r="B28" s="19" t="s">
        <v>33</v>
      </c>
    </row>
    <row r="29" spans="2:8" x14ac:dyDescent="0.4">
      <c r="B29" s="90" t="s">
        <v>239</v>
      </c>
      <c r="C29" s="90" t="s">
        <v>243</v>
      </c>
      <c r="D29" s="90" t="s">
        <v>244</v>
      </c>
      <c r="E29" s="106" t="s">
        <v>251</v>
      </c>
      <c r="F29" s="106"/>
      <c r="G29" s="84" t="s">
        <v>263</v>
      </c>
      <c r="H29" s="90" t="s">
        <v>253</v>
      </c>
    </row>
    <row r="30" spans="2:8" x14ac:dyDescent="0.4">
      <c r="B30" s="90" t="s">
        <v>270</v>
      </c>
      <c r="C30" s="90" t="s">
        <v>271</v>
      </c>
      <c r="D30" s="90" t="s">
        <v>273</v>
      </c>
      <c r="E30" s="102" t="s">
        <v>274</v>
      </c>
      <c r="F30" s="102"/>
      <c r="G30" s="98">
        <f>E10*E8</f>
        <v>5905.7999999999993</v>
      </c>
      <c r="H30" s="90" t="s">
        <v>237</v>
      </c>
    </row>
    <row r="31" spans="2:8" x14ac:dyDescent="0.4">
      <c r="B31" s="90" t="s">
        <v>272</v>
      </c>
      <c r="C31" s="90" t="s">
        <v>271</v>
      </c>
      <c r="D31" s="90" t="s">
        <v>273</v>
      </c>
      <c r="E31" s="102" t="s">
        <v>274</v>
      </c>
      <c r="F31" s="102"/>
      <c r="G31" s="98">
        <f>E10*(E8-G24)</f>
        <v>4821.4951199999996</v>
      </c>
      <c r="H31" s="90" t="s">
        <v>237</v>
      </c>
    </row>
    <row r="32" spans="2:8" x14ac:dyDescent="0.4">
      <c r="B32" s="107" t="s">
        <v>268</v>
      </c>
      <c r="C32" s="107"/>
      <c r="D32" s="90" t="s">
        <v>273</v>
      </c>
      <c r="E32" s="102" t="s">
        <v>237</v>
      </c>
      <c r="F32" s="102"/>
      <c r="G32" s="98">
        <f>G30-G31</f>
        <v>1084.3048799999997</v>
      </c>
      <c r="H32" s="90" t="s">
        <v>237</v>
      </c>
    </row>
    <row r="33" spans="2:8" x14ac:dyDescent="0.4">
      <c r="B33" s="107"/>
      <c r="C33" s="107"/>
      <c r="D33" s="96" t="s">
        <v>250</v>
      </c>
      <c r="E33" s="102" t="s">
        <v>237</v>
      </c>
      <c r="F33" s="102"/>
      <c r="G33" s="93">
        <f>G32/G30</f>
        <v>0.18359999999999996</v>
      </c>
      <c r="H33" s="90" t="s">
        <v>237</v>
      </c>
    </row>
  </sheetData>
  <mergeCells count="30">
    <mergeCell ref="E20:F20"/>
    <mergeCell ref="B15:C15"/>
    <mergeCell ref="B14:C14"/>
    <mergeCell ref="B13:C13"/>
    <mergeCell ref="B12:C12"/>
    <mergeCell ref="B5:C5"/>
    <mergeCell ref="B4:C4"/>
    <mergeCell ref="B3:C3"/>
    <mergeCell ref="E18:F18"/>
    <mergeCell ref="E19:F19"/>
    <mergeCell ref="B11:C11"/>
    <mergeCell ref="B10:C10"/>
    <mergeCell ref="B8:C8"/>
    <mergeCell ref="B7:C7"/>
    <mergeCell ref="B6:C6"/>
    <mergeCell ref="B9:C9"/>
    <mergeCell ref="B21:B25"/>
    <mergeCell ref="B26:C26"/>
    <mergeCell ref="E32:F32"/>
    <mergeCell ref="E21:F21"/>
    <mergeCell ref="E22:F22"/>
    <mergeCell ref="E23:F23"/>
    <mergeCell ref="E24:F24"/>
    <mergeCell ref="E25:F25"/>
    <mergeCell ref="E26:F26"/>
    <mergeCell ref="E29:F29"/>
    <mergeCell ref="E30:F30"/>
    <mergeCell ref="E31:F31"/>
    <mergeCell ref="B32:C33"/>
    <mergeCell ref="E33:F33"/>
  </mergeCells>
  <phoneticPr fontId="1"/>
  <dataValidations count="2">
    <dataValidation type="list" allowBlank="1" showInputMessage="1" showErrorMessage="1" sqref="E4" xr:uid="{36AD58F9-5F17-4443-B66D-4DA8100FFFEF}">
      <formula1>"あり,なし"</formula1>
    </dataValidation>
    <dataValidation type="list" allowBlank="1" showInputMessage="1" showErrorMessage="1" sqref="E5" xr:uid="{51BA4DA2-CC88-4ED4-BE98-3D58CA4BDBE4}">
      <formula1>"新設・更新時,既存設備の改造"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97"/>
  <sheetViews>
    <sheetView showGridLines="0" view="pageBreakPreview" zoomScale="85" zoomScaleNormal="85" zoomScaleSheetLayoutView="85" workbookViewId="0">
      <selection sqref="A1:A1048576"/>
    </sheetView>
  </sheetViews>
  <sheetFormatPr defaultRowHeight="18.75" x14ac:dyDescent="0.4"/>
  <cols>
    <col min="1" max="1" width="1.625" style="9" customWidth="1"/>
    <col min="2" max="2" width="11" style="9" customWidth="1"/>
    <col min="3" max="3" width="19.25" style="9" bestFit="1" customWidth="1"/>
    <col min="4" max="4" width="38.375" style="9" customWidth="1"/>
    <col min="5" max="5" width="12.375" style="9" customWidth="1"/>
    <col min="6" max="6" width="27.625" style="9" customWidth="1"/>
    <col min="7" max="7" width="24.625" style="24" customWidth="1"/>
    <col min="8" max="8" width="22.5" style="9" bestFit="1" customWidth="1"/>
    <col min="9" max="9" width="37.75" style="9" bestFit="1" customWidth="1"/>
    <col min="10" max="10" width="3.625" style="9" customWidth="1"/>
    <col min="11" max="11" width="13" style="31" bestFit="1" customWidth="1"/>
    <col min="12" max="12" width="12.25" style="31" bestFit="1" customWidth="1"/>
    <col min="13" max="14" width="1.625" style="31" customWidth="1"/>
    <col min="15" max="15" width="1.625" style="9" customWidth="1"/>
    <col min="16" max="17" width="19.25" style="9" hidden="1" customWidth="1"/>
    <col min="18" max="18" width="8.625" style="9" hidden="1" customWidth="1"/>
    <col min="19" max="19" width="21.375" style="9" hidden="1" customWidth="1"/>
    <col min="20" max="20" width="11.625" style="9" hidden="1" customWidth="1"/>
    <col min="21" max="16384" width="9" style="9"/>
  </cols>
  <sheetData>
    <row r="1" spans="2:21" s="24" customFormat="1" ht="33" x14ac:dyDescent="0.4">
      <c r="B1" s="19" t="s">
        <v>78</v>
      </c>
      <c r="D1" s="45"/>
      <c r="K1" s="31"/>
      <c r="L1" s="31"/>
      <c r="M1" s="31"/>
      <c r="N1" s="31"/>
    </row>
    <row r="2" spans="2:21" s="24" customFormat="1" x14ac:dyDescent="0.4">
      <c r="B2" s="106" t="s">
        <v>142</v>
      </c>
      <c r="C2" s="106"/>
      <c r="D2" s="61"/>
      <c r="F2" s="46" t="s">
        <v>147</v>
      </c>
      <c r="G2" s="63"/>
      <c r="H2" s="47"/>
      <c r="I2" s="48"/>
      <c r="K2" s="31"/>
      <c r="L2" s="31"/>
      <c r="M2" s="31"/>
      <c r="N2" s="31"/>
    </row>
    <row r="3" spans="2:21" s="24" customFormat="1" x14ac:dyDescent="0.4">
      <c r="B3" s="106" t="s">
        <v>143</v>
      </c>
      <c r="C3" s="106"/>
      <c r="D3" s="61"/>
      <c r="F3" s="46" t="s">
        <v>148</v>
      </c>
      <c r="G3" s="63"/>
      <c r="H3" s="47"/>
      <c r="I3" s="48"/>
      <c r="K3" s="31"/>
      <c r="L3" s="31"/>
      <c r="M3" s="31"/>
      <c r="N3" s="31"/>
      <c r="P3" s="66"/>
      <c r="Q3" s="118" t="s">
        <v>84</v>
      </c>
      <c r="R3" s="119"/>
      <c r="S3" s="118" t="s">
        <v>85</v>
      </c>
      <c r="T3" s="119"/>
    </row>
    <row r="4" spans="2:21" s="24" customFormat="1" ht="20.25" x14ac:dyDescent="0.4">
      <c r="B4" s="106" t="s">
        <v>144</v>
      </c>
      <c r="C4" s="106"/>
      <c r="D4" s="62"/>
      <c r="F4" s="46" t="s">
        <v>149</v>
      </c>
      <c r="G4" s="63"/>
      <c r="H4" s="64"/>
      <c r="I4" s="64"/>
      <c r="K4" s="31"/>
      <c r="L4" s="31"/>
      <c r="M4" s="31"/>
      <c r="N4" s="31"/>
      <c r="P4" s="66" t="s">
        <v>81</v>
      </c>
      <c r="Q4" s="66">
        <v>44.8</v>
      </c>
      <c r="R4" s="66" t="s">
        <v>108</v>
      </c>
      <c r="S4" s="46">
        <v>2.23</v>
      </c>
      <c r="T4" s="46" t="s">
        <v>202</v>
      </c>
      <c r="U4" s="68"/>
    </row>
    <row r="5" spans="2:21" s="24" customFormat="1" ht="20.25" x14ac:dyDescent="0.4">
      <c r="B5" s="106" t="s">
        <v>77</v>
      </c>
      <c r="C5" s="106"/>
      <c r="D5" s="61"/>
      <c r="F5" s="46" t="s">
        <v>150</v>
      </c>
      <c r="G5" s="63"/>
      <c r="H5" s="53"/>
      <c r="I5" s="53"/>
      <c r="K5" s="31"/>
      <c r="L5" s="31"/>
      <c r="M5" s="31"/>
      <c r="N5" s="31"/>
      <c r="P5" s="66" t="s">
        <v>83</v>
      </c>
      <c r="Q5" s="66">
        <v>0</v>
      </c>
      <c r="R5" s="66" t="s">
        <v>109</v>
      </c>
      <c r="S5" s="49">
        <v>0</v>
      </c>
      <c r="T5" s="49" t="s">
        <v>203</v>
      </c>
    </row>
    <row r="6" spans="2:21" s="24" customFormat="1" ht="20.25" x14ac:dyDescent="0.4">
      <c r="B6" s="106" t="s">
        <v>145</v>
      </c>
      <c r="C6" s="106"/>
      <c r="D6" s="62"/>
      <c r="F6" s="49" t="s">
        <v>219</v>
      </c>
      <c r="G6" s="63"/>
      <c r="H6" s="65" t="s">
        <v>107</v>
      </c>
      <c r="I6" s="50" t="s">
        <v>151</v>
      </c>
      <c r="J6" s="114" t="str">
        <f>IF($G$6="","",VLOOKUP($G$6,$P$4:$R$7,2,FALSE))</f>
        <v/>
      </c>
      <c r="K6" s="203" t="str">
        <f t="shared" ref="K6" si="0">IF($G$6="","",VLOOKUP(J7,$P$4:$R$6,2,FALSE))</f>
        <v/>
      </c>
      <c r="L6" s="59" t="str">
        <f>IF($G$6="","",VLOOKUP($G$6,$P$4:$R$7,3,FALSE))</f>
        <v/>
      </c>
      <c r="M6" s="31"/>
      <c r="N6" s="31"/>
      <c r="O6" s="1"/>
      <c r="P6" s="66" t="s">
        <v>82</v>
      </c>
      <c r="Q6" s="66">
        <v>36.700000000000003</v>
      </c>
      <c r="R6" s="66" t="s">
        <v>86</v>
      </c>
      <c r="S6" s="49">
        <v>2.4900000000000002</v>
      </c>
      <c r="T6" s="49" t="s">
        <v>204</v>
      </c>
    </row>
    <row r="7" spans="2:21" s="24" customFormat="1" ht="20.25" x14ac:dyDescent="0.4">
      <c r="B7" s="106" t="s">
        <v>146</v>
      </c>
      <c r="C7" s="106"/>
      <c r="D7" s="62"/>
      <c r="F7" s="49" t="s">
        <v>220</v>
      </c>
      <c r="G7" s="63"/>
      <c r="H7" s="52"/>
      <c r="I7" s="50" t="s">
        <v>224</v>
      </c>
      <c r="J7" s="114" t="str">
        <f>IF($G$6="","",VLOOKUP($G$6,$P$4:$T$7,4,FALSE))</f>
        <v/>
      </c>
      <c r="K7" s="203" t="str">
        <f t="shared" ref="K7" si="1">IF($G$6="","",VLOOKUP(J6,$P$4:$T$6,4,FALSE))</f>
        <v/>
      </c>
      <c r="L7" s="59" t="str">
        <f>IF($G$6="","",VLOOKUP($G$6,$P$4:$T$7,5,FALSE))</f>
        <v/>
      </c>
      <c r="M7" s="31"/>
      <c r="N7" s="31"/>
      <c r="P7" s="66" t="s">
        <v>112</v>
      </c>
      <c r="Q7" s="66">
        <v>39.1</v>
      </c>
      <c r="R7" s="66" t="s">
        <v>86</v>
      </c>
      <c r="S7" s="49">
        <v>2.71</v>
      </c>
      <c r="T7" s="49" t="s">
        <v>205</v>
      </c>
    </row>
    <row r="8" spans="2:21" s="24" customFormat="1" x14ac:dyDescent="0.4">
      <c r="B8" s="165"/>
      <c r="C8" s="165"/>
      <c r="F8" s="54" t="s">
        <v>221</v>
      </c>
      <c r="G8" s="70"/>
      <c r="H8" s="51"/>
      <c r="I8" s="54"/>
      <c r="K8" s="31"/>
      <c r="L8" s="31"/>
      <c r="M8" s="31"/>
      <c r="N8" s="31"/>
    </row>
    <row r="9" spans="2:21" s="24" customFormat="1" x14ac:dyDescent="0.4">
      <c r="F9" s="1"/>
      <c r="K9" s="31"/>
      <c r="L9" s="31"/>
      <c r="M9" s="31"/>
      <c r="N9" s="31"/>
    </row>
    <row r="10" spans="2:21" ht="33" x14ac:dyDescent="0.4">
      <c r="B10" s="19" t="s">
        <v>218</v>
      </c>
      <c r="O10" s="55"/>
      <c r="P10" s="33"/>
      <c r="Q10" s="33"/>
      <c r="R10" s="33"/>
    </row>
    <row r="11" spans="2:21" x14ac:dyDescent="0.4">
      <c r="B11" s="11" t="s">
        <v>19</v>
      </c>
      <c r="C11" s="11" t="s">
        <v>21</v>
      </c>
      <c r="D11" s="11" t="s">
        <v>20</v>
      </c>
      <c r="E11" s="11" t="s">
        <v>28</v>
      </c>
      <c r="F11" s="118" t="s">
        <v>39</v>
      </c>
      <c r="G11" s="119"/>
      <c r="H11" s="11" t="s">
        <v>15</v>
      </c>
      <c r="I11" s="11" t="s">
        <v>18</v>
      </c>
      <c r="O11" s="33"/>
      <c r="P11" s="33"/>
      <c r="Q11" s="33"/>
      <c r="R11" s="33"/>
    </row>
    <row r="12" spans="2:21" ht="39" customHeight="1" x14ac:dyDescent="0.4">
      <c r="B12" s="128" t="s">
        <v>1</v>
      </c>
      <c r="C12" s="128" t="s">
        <v>17</v>
      </c>
      <c r="D12" s="28" t="s">
        <v>152</v>
      </c>
      <c r="E12" s="11" t="s">
        <v>37</v>
      </c>
      <c r="F12" s="118" t="s">
        <v>196</v>
      </c>
      <c r="G12" s="119"/>
      <c r="H12" s="26">
        <f>2.426*D2^0.0094*100</f>
        <v>0</v>
      </c>
      <c r="I12" s="18" t="s">
        <v>115</v>
      </c>
      <c r="O12" s="33"/>
      <c r="P12" s="33"/>
      <c r="Q12" s="56"/>
      <c r="R12" s="33"/>
    </row>
    <row r="13" spans="2:21" ht="19.5" customHeight="1" x14ac:dyDescent="0.4">
      <c r="B13" s="129"/>
      <c r="C13" s="129"/>
      <c r="D13" s="16" t="s">
        <v>2</v>
      </c>
      <c r="E13" s="11" t="s">
        <v>37</v>
      </c>
      <c r="F13" s="118" t="s">
        <v>95</v>
      </c>
      <c r="G13" s="119"/>
      <c r="H13" s="26">
        <f>1.888*D2^0.597*100</f>
        <v>0</v>
      </c>
      <c r="I13" s="18" t="s">
        <v>52</v>
      </c>
      <c r="J13" s="67"/>
      <c r="O13" s="201"/>
      <c r="P13" s="58"/>
      <c r="Q13" s="56"/>
      <c r="R13" s="202"/>
    </row>
    <row r="14" spans="2:21" ht="19.5" customHeight="1" x14ac:dyDescent="0.4">
      <c r="B14" s="129"/>
      <c r="C14" s="129"/>
      <c r="D14" s="16" t="s">
        <v>3</v>
      </c>
      <c r="E14" s="11" t="s">
        <v>37</v>
      </c>
      <c r="F14" s="118" t="s">
        <v>96</v>
      </c>
      <c r="G14" s="119"/>
      <c r="H14" s="26">
        <f>0.726*D2^0.539*100</f>
        <v>0</v>
      </c>
      <c r="I14" s="18" t="s">
        <v>49</v>
      </c>
      <c r="O14" s="201"/>
      <c r="P14" s="58"/>
      <c r="Q14" s="56"/>
      <c r="R14" s="202"/>
    </row>
    <row r="15" spans="2:21" ht="19.5" customHeight="1" x14ac:dyDescent="0.4">
      <c r="B15" s="129"/>
      <c r="C15" s="129"/>
      <c r="D15" s="11" t="s">
        <v>13</v>
      </c>
      <c r="E15" s="11" t="s">
        <v>37</v>
      </c>
      <c r="F15" s="118" t="s">
        <v>40</v>
      </c>
      <c r="G15" s="119"/>
      <c r="H15" s="26">
        <f>+H12+H13+H14</f>
        <v>0</v>
      </c>
      <c r="I15" s="18" t="s">
        <v>53</v>
      </c>
      <c r="O15" s="201"/>
      <c r="P15" s="58"/>
      <c r="Q15" s="56"/>
      <c r="R15" s="33"/>
    </row>
    <row r="16" spans="2:21" ht="19.5" customHeight="1" x14ac:dyDescent="0.4">
      <c r="B16" s="129"/>
      <c r="C16" s="129"/>
      <c r="D16" s="131" t="s">
        <v>6</v>
      </c>
      <c r="E16" s="131" t="s">
        <v>38</v>
      </c>
      <c r="F16" s="133" t="s">
        <v>114</v>
      </c>
      <c r="G16" s="134"/>
      <c r="H16" s="211">
        <f>H12*L16/100*(1+L16/100)^L19/((1+L16/100)^L19-1)+H13*L16/100*(1+L16/100)^L20/((1+L16/100)^L20-1)+H14*L16/100*(1+L16/100)^L22/((1+L16/100)^L22-1)</f>
        <v>0</v>
      </c>
      <c r="I16" s="170" t="s">
        <v>110</v>
      </c>
      <c r="K16" s="69" t="s">
        <v>171</v>
      </c>
      <c r="L16" s="61">
        <v>2.2999999999999998</v>
      </c>
      <c r="O16" s="201"/>
      <c r="P16" s="201"/>
      <c r="Q16" s="14"/>
      <c r="R16" s="33"/>
    </row>
    <row r="17" spans="2:18" s="31" customFormat="1" ht="19.5" customHeight="1" x14ac:dyDescent="0.4">
      <c r="B17" s="129"/>
      <c r="C17" s="129"/>
      <c r="D17" s="132"/>
      <c r="E17" s="132"/>
      <c r="F17" s="135"/>
      <c r="G17" s="136"/>
      <c r="H17" s="212"/>
      <c r="I17" s="171"/>
      <c r="K17" s="36"/>
      <c r="L17" s="33"/>
      <c r="O17" s="58"/>
      <c r="P17" s="58"/>
      <c r="Q17" s="14"/>
      <c r="R17" s="33"/>
    </row>
    <row r="18" spans="2:18" s="31" customFormat="1" ht="19.5" customHeight="1" x14ac:dyDescent="0.4">
      <c r="B18" s="129"/>
      <c r="C18" s="129"/>
      <c r="D18" s="170" t="s">
        <v>153</v>
      </c>
      <c r="E18" s="131" t="s">
        <v>38</v>
      </c>
      <c r="F18" s="147" t="s">
        <v>97</v>
      </c>
      <c r="G18" s="148"/>
      <c r="H18" s="151">
        <f>0.287*D4^0.673</f>
        <v>0</v>
      </c>
      <c r="I18" s="128" t="s">
        <v>116</v>
      </c>
      <c r="K18" s="106" t="s">
        <v>172</v>
      </c>
      <c r="L18" s="106"/>
      <c r="O18" s="58"/>
      <c r="P18" s="58"/>
      <c r="Q18" s="14"/>
      <c r="R18" s="33"/>
    </row>
    <row r="19" spans="2:18" ht="19.5" customHeight="1" x14ac:dyDescent="0.4">
      <c r="B19" s="129"/>
      <c r="C19" s="129"/>
      <c r="D19" s="171"/>
      <c r="E19" s="132"/>
      <c r="F19" s="149"/>
      <c r="G19" s="150"/>
      <c r="H19" s="152"/>
      <c r="I19" s="130"/>
      <c r="K19" s="30" t="s">
        <v>101</v>
      </c>
      <c r="L19" s="61">
        <v>45</v>
      </c>
      <c r="O19" s="58"/>
      <c r="P19" s="58"/>
      <c r="Q19" s="33"/>
      <c r="R19" s="33"/>
    </row>
    <row r="20" spans="2:18" s="31" customFormat="1" ht="9.75" customHeight="1" x14ac:dyDescent="0.4">
      <c r="B20" s="129"/>
      <c r="C20" s="129"/>
      <c r="D20" s="205" t="s">
        <v>154</v>
      </c>
      <c r="E20" s="131" t="s">
        <v>38</v>
      </c>
      <c r="F20" s="141" t="s">
        <v>40</v>
      </c>
      <c r="G20" s="142"/>
      <c r="H20" s="139">
        <f>+H16+H18</f>
        <v>0</v>
      </c>
      <c r="I20" s="209" t="s">
        <v>54</v>
      </c>
      <c r="K20" s="131" t="s">
        <v>99</v>
      </c>
      <c r="L20" s="207">
        <v>15</v>
      </c>
      <c r="O20" s="58"/>
      <c r="P20" s="58"/>
      <c r="Q20" s="33"/>
      <c r="R20" s="33"/>
    </row>
    <row r="21" spans="2:18" ht="9.75" customHeight="1" x14ac:dyDescent="0.4">
      <c r="B21" s="130"/>
      <c r="C21" s="130"/>
      <c r="D21" s="206"/>
      <c r="E21" s="132"/>
      <c r="F21" s="143"/>
      <c r="G21" s="144"/>
      <c r="H21" s="140"/>
      <c r="I21" s="210"/>
      <c r="K21" s="132"/>
      <c r="L21" s="208"/>
      <c r="O21" s="20"/>
      <c r="P21" s="58"/>
      <c r="Q21" s="33"/>
      <c r="R21" s="33"/>
    </row>
    <row r="22" spans="2:18" ht="19.5" customHeight="1" x14ac:dyDescent="0.4">
      <c r="B22" s="128" t="s">
        <v>7</v>
      </c>
      <c r="C22" s="102" t="s">
        <v>14</v>
      </c>
      <c r="D22" s="16" t="s">
        <v>8</v>
      </c>
      <c r="E22" s="11" t="s">
        <v>37</v>
      </c>
      <c r="F22" s="183" t="s">
        <v>213</v>
      </c>
      <c r="G22" s="184"/>
      <c r="H22" s="3">
        <f>0.134*D3+6.58</f>
        <v>6.58</v>
      </c>
      <c r="I22" s="18" t="s">
        <v>117</v>
      </c>
      <c r="K22" s="30" t="s">
        <v>100</v>
      </c>
      <c r="L22" s="61">
        <v>15</v>
      </c>
      <c r="O22" s="58"/>
      <c r="P22" s="58"/>
      <c r="Q22" s="33"/>
      <c r="R22" s="33"/>
    </row>
    <row r="23" spans="2:18" ht="19.5" customHeight="1" x14ac:dyDescent="0.4">
      <c r="B23" s="129"/>
      <c r="C23" s="102"/>
      <c r="D23" s="16" t="s">
        <v>9</v>
      </c>
      <c r="E23" s="11" t="s">
        <v>37</v>
      </c>
      <c r="F23" s="183" t="s">
        <v>210</v>
      </c>
      <c r="G23" s="184"/>
      <c r="H23" s="26">
        <f>2.42*D3+340</f>
        <v>340</v>
      </c>
      <c r="I23" s="18" t="s">
        <v>118</v>
      </c>
      <c r="O23" s="58"/>
      <c r="P23" s="58"/>
      <c r="Q23" s="56"/>
      <c r="R23" s="33"/>
    </row>
    <row r="24" spans="2:18" ht="19.5" customHeight="1" x14ac:dyDescent="0.4">
      <c r="B24" s="129"/>
      <c r="C24" s="102"/>
      <c r="D24" s="16" t="s">
        <v>10</v>
      </c>
      <c r="E24" s="11" t="s">
        <v>37</v>
      </c>
      <c r="F24" s="183" t="s">
        <v>211</v>
      </c>
      <c r="G24" s="184"/>
      <c r="H24" s="79">
        <f>0.0142*D3+0.791</f>
        <v>0.79100000000000004</v>
      </c>
      <c r="I24" s="18" t="s">
        <v>119</v>
      </c>
      <c r="O24" s="58"/>
      <c r="P24" s="58"/>
      <c r="Q24" s="56"/>
      <c r="R24" s="33"/>
    </row>
    <row r="25" spans="2:18" ht="19.5" customHeight="1" x14ac:dyDescent="0.4">
      <c r="B25" s="129"/>
      <c r="C25" s="102"/>
      <c r="D25" s="16" t="s">
        <v>11</v>
      </c>
      <c r="E25" s="11" t="s">
        <v>37</v>
      </c>
      <c r="F25" s="183" t="s">
        <v>212</v>
      </c>
      <c r="G25" s="184"/>
      <c r="H25" s="26">
        <f>0.311*D3+53.3</f>
        <v>53.3</v>
      </c>
      <c r="I25" s="18" t="s">
        <v>120</v>
      </c>
      <c r="O25" s="201"/>
      <c r="P25" s="201"/>
      <c r="Q25" s="14"/>
      <c r="R25" s="33"/>
    </row>
    <row r="26" spans="2:18" ht="19.5" customHeight="1" x14ac:dyDescent="0.4">
      <c r="B26" s="129"/>
      <c r="C26" s="102"/>
      <c r="D26" s="11" t="s">
        <v>13</v>
      </c>
      <c r="E26" s="11" t="s">
        <v>37</v>
      </c>
      <c r="F26" s="118" t="s">
        <v>40</v>
      </c>
      <c r="G26" s="119"/>
      <c r="H26" s="26">
        <f>+H22+H23+H24+H25</f>
        <v>400.67099999999999</v>
      </c>
      <c r="I26" s="18" t="s">
        <v>55</v>
      </c>
      <c r="O26" s="201"/>
      <c r="P26" s="201"/>
      <c r="Q26" s="56"/>
      <c r="R26" s="33"/>
    </row>
    <row r="27" spans="2:18" s="31" customFormat="1" ht="19.5" customHeight="1" x14ac:dyDescent="0.4">
      <c r="B27" s="129"/>
      <c r="C27" s="102"/>
      <c r="D27" s="131" t="s">
        <v>6</v>
      </c>
      <c r="E27" s="131" t="s">
        <v>38</v>
      </c>
      <c r="F27" s="141" t="s">
        <v>121</v>
      </c>
      <c r="G27" s="142"/>
      <c r="H27" s="137">
        <f>H22*L27/100*(1+L27/100)^L30/((1+L27/100)^L30-1)+H23*L27/100*(1+L27/100)^L31/((1+L27/100)^L31-1)+H24*L27/100*(1+L27/100)^L32/((1+L27/100)^L32-1)+H25*L27/100*(1+L27/100)^L34/((1+L27/100)^L34-1)</f>
        <v>31.599166920115586</v>
      </c>
      <c r="I27" s="170" t="s">
        <v>111</v>
      </c>
      <c r="K27" s="69" t="s">
        <v>171</v>
      </c>
      <c r="L27" s="61">
        <v>2.2999999999999998</v>
      </c>
      <c r="O27" s="58"/>
      <c r="P27" s="58"/>
      <c r="Q27" s="56"/>
      <c r="R27" s="33"/>
    </row>
    <row r="28" spans="2:18" ht="19.5" customHeight="1" x14ac:dyDescent="0.4">
      <c r="B28" s="129"/>
      <c r="C28" s="102"/>
      <c r="D28" s="132"/>
      <c r="E28" s="132"/>
      <c r="F28" s="143"/>
      <c r="G28" s="144"/>
      <c r="H28" s="138"/>
      <c r="I28" s="171"/>
      <c r="K28" s="36"/>
      <c r="L28" s="33"/>
      <c r="O28" s="201"/>
      <c r="P28" s="201"/>
      <c r="Q28" s="57"/>
      <c r="R28" s="33"/>
    </row>
    <row r="29" spans="2:18" s="31" customFormat="1" ht="19.5" customHeight="1" x14ac:dyDescent="0.4">
      <c r="B29" s="129"/>
      <c r="C29" s="102"/>
      <c r="D29" s="128" t="s">
        <v>155</v>
      </c>
      <c r="E29" s="145" t="s">
        <v>179</v>
      </c>
      <c r="F29" s="147" t="s">
        <v>197</v>
      </c>
      <c r="G29" s="148"/>
      <c r="H29" s="137">
        <f>0.1186*D2+65.1</f>
        <v>65.099999999999994</v>
      </c>
      <c r="I29" s="128" t="s">
        <v>122</v>
      </c>
      <c r="K29" s="106" t="s">
        <v>172</v>
      </c>
      <c r="L29" s="106"/>
      <c r="O29" s="58"/>
      <c r="P29" s="58"/>
      <c r="Q29" s="57"/>
      <c r="R29" s="33"/>
    </row>
    <row r="30" spans="2:18" ht="19.5" customHeight="1" x14ac:dyDescent="0.4">
      <c r="B30" s="129"/>
      <c r="C30" s="102"/>
      <c r="D30" s="129"/>
      <c r="E30" s="146"/>
      <c r="F30" s="149"/>
      <c r="G30" s="150"/>
      <c r="H30" s="138"/>
      <c r="I30" s="130"/>
      <c r="K30" s="30" t="s">
        <v>102</v>
      </c>
      <c r="L30" s="61">
        <v>45</v>
      </c>
      <c r="O30" s="201"/>
      <c r="P30" s="201"/>
      <c r="Q30" s="14"/>
      <c r="R30" s="33"/>
    </row>
    <row r="31" spans="2:18" s="31" customFormat="1" ht="19.5" customHeight="1" x14ac:dyDescent="0.4">
      <c r="B31" s="129"/>
      <c r="C31" s="102"/>
      <c r="D31" s="129"/>
      <c r="E31" s="131" t="s">
        <v>38</v>
      </c>
      <c r="F31" s="155" t="s">
        <v>123</v>
      </c>
      <c r="G31" s="156"/>
      <c r="H31" s="159">
        <f>H29*L37*24*15*10^-6</f>
        <v>0</v>
      </c>
      <c r="I31" s="128" t="s">
        <v>56</v>
      </c>
      <c r="K31" s="30" t="s">
        <v>103</v>
      </c>
      <c r="L31" s="61">
        <v>15</v>
      </c>
      <c r="O31" s="58"/>
      <c r="P31" s="58"/>
      <c r="Q31" s="14"/>
      <c r="R31" s="33"/>
    </row>
    <row r="32" spans="2:18" ht="19.5" customHeight="1" x14ac:dyDescent="0.4">
      <c r="B32" s="129"/>
      <c r="C32" s="102"/>
      <c r="D32" s="130"/>
      <c r="E32" s="132"/>
      <c r="F32" s="157"/>
      <c r="G32" s="158"/>
      <c r="H32" s="160"/>
      <c r="I32" s="130"/>
      <c r="K32" s="145" t="s">
        <v>104</v>
      </c>
      <c r="L32" s="207">
        <v>15</v>
      </c>
      <c r="O32" s="60"/>
      <c r="P32" s="60"/>
      <c r="Q32" s="14"/>
      <c r="R32" s="12"/>
    </row>
    <row r="33" spans="2:18" ht="19.5" customHeight="1" x14ac:dyDescent="0.4">
      <c r="B33" s="129"/>
      <c r="C33" s="102"/>
      <c r="D33" s="129" t="s">
        <v>156</v>
      </c>
      <c r="E33" s="145" t="s">
        <v>183</v>
      </c>
      <c r="F33" s="124" t="s">
        <v>185</v>
      </c>
      <c r="G33" s="125"/>
      <c r="H33" s="198" t="e">
        <f>(D3*10^3*1/24*(1-D5)*D6-D7*D3*10^3*1/24*D5)*10^-6+(G7*J6*10^-3)</f>
        <v>#VALUE!</v>
      </c>
      <c r="I33" s="214" t="s">
        <v>113</v>
      </c>
      <c r="K33" s="146"/>
      <c r="L33" s="208"/>
      <c r="Q33" s="14"/>
      <c r="R33" s="12"/>
    </row>
    <row r="34" spans="2:18" s="31" customFormat="1" ht="19.5" customHeight="1" x14ac:dyDescent="0.4">
      <c r="B34" s="129"/>
      <c r="C34" s="102"/>
      <c r="D34" s="129"/>
      <c r="E34" s="161"/>
      <c r="F34" s="162"/>
      <c r="G34" s="163"/>
      <c r="H34" s="213"/>
      <c r="I34" s="215"/>
      <c r="K34" s="17" t="s">
        <v>100</v>
      </c>
      <c r="L34" s="61">
        <v>15</v>
      </c>
      <c r="Q34" s="14"/>
      <c r="R34" s="33"/>
    </row>
    <row r="35" spans="2:18" s="31" customFormat="1" ht="56.25" customHeight="1" x14ac:dyDescent="0.4">
      <c r="B35" s="129"/>
      <c r="C35" s="102"/>
      <c r="D35" s="129"/>
      <c r="E35" s="146"/>
      <c r="F35" s="126"/>
      <c r="G35" s="127"/>
      <c r="H35" s="199"/>
      <c r="I35" s="216"/>
      <c r="K35" s="32"/>
      <c r="L35" s="32"/>
      <c r="Q35" s="14"/>
      <c r="R35" s="33"/>
    </row>
    <row r="36" spans="2:18" ht="39" customHeight="1" x14ac:dyDescent="0.4">
      <c r="B36" s="129"/>
      <c r="C36" s="102"/>
      <c r="D36" s="129"/>
      <c r="E36" s="17" t="s">
        <v>182</v>
      </c>
      <c r="F36" s="183" t="s">
        <v>214</v>
      </c>
      <c r="G36" s="184"/>
      <c r="H36" s="26" t="e">
        <f>33.1*H33-102</f>
        <v>#VALUE!</v>
      </c>
      <c r="I36" s="18"/>
      <c r="O36" s="20"/>
      <c r="P36" s="5"/>
      <c r="Q36" s="5"/>
      <c r="R36" s="12"/>
    </row>
    <row r="37" spans="2:18" s="31" customFormat="1" ht="19.5" customHeight="1" x14ac:dyDescent="0.4">
      <c r="B37" s="129"/>
      <c r="C37" s="102"/>
      <c r="D37" s="129"/>
      <c r="E37" s="145" t="s">
        <v>206</v>
      </c>
      <c r="F37" s="147" t="s">
        <v>124</v>
      </c>
      <c r="G37" s="148"/>
      <c r="H37" s="151" t="e">
        <f>H36*L37*24*10^-3</f>
        <v>#VALUE!</v>
      </c>
      <c r="I37" s="200" t="s">
        <v>201</v>
      </c>
      <c r="K37" s="37" t="s">
        <v>170</v>
      </c>
      <c r="L37" s="43">
        <f>G2</f>
        <v>0</v>
      </c>
      <c r="O37" s="20"/>
      <c r="P37" s="5"/>
      <c r="Q37" s="5"/>
      <c r="R37" s="33"/>
    </row>
    <row r="38" spans="2:18" ht="19.5" customHeight="1" x14ac:dyDescent="0.4">
      <c r="B38" s="129"/>
      <c r="C38" s="102"/>
      <c r="D38" s="129"/>
      <c r="E38" s="146"/>
      <c r="F38" s="149"/>
      <c r="G38" s="150"/>
      <c r="H38" s="152"/>
      <c r="I38" s="180"/>
      <c r="K38" s="32"/>
      <c r="L38" s="32"/>
      <c r="O38" s="201"/>
      <c r="P38" s="201"/>
      <c r="Q38" s="5"/>
      <c r="R38" s="12"/>
    </row>
    <row r="39" spans="2:18" s="31" customFormat="1" ht="19.5" customHeight="1" x14ac:dyDescent="0.4">
      <c r="B39" s="129"/>
      <c r="C39" s="102"/>
      <c r="D39" s="129"/>
      <c r="E39" s="131" t="s">
        <v>38</v>
      </c>
      <c r="F39" s="147" t="s">
        <v>207</v>
      </c>
      <c r="G39" s="148"/>
      <c r="H39" s="153" t="e">
        <f>-H37*L39*10^-3</f>
        <v>#VALUE!</v>
      </c>
      <c r="I39" s="128" t="s">
        <v>57</v>
      </c>
      <c r="K39" s="37" t="s">
        <v>173</v>
      </c>
      <c r="L39" s="43">
        <f>G3</f>
        <v>0</v>
      </c>
      <c r="O39" s="5"/>
      <c r="P39" s="5"/>
      <c r="Q39" s="5"/>
      <c r="R39" s="33"/>
    </row>
    <row r="40" spans="2:18" ht="19.5" customHeight="1" x14ac:dyDescent="0.4">
      <c r="B40" s="129"/>
      <c r="C40" s="102"/>
      <c r="D40" s="130"/>
      <c r="E40" s="132"/>
      <c r="F40" s="149"/>
      <c r="G40" s="150"/>
      <c r="H40" s="154"/>
      <c r="I40" s="130"/>
      <c r="O40" s="201"/>
      <c r="P40" s="201"/>
      <c r="Q40" s="5"/>
    </row>
    <row r="41" spans="2:18" ht="39" customHeight="1" x14ac:dyDescent="0.4">
      <c r="B41" s="129"/>
      <c r="C41" s="102"/>
      <c r="D41" s="128" t="s">
        <v>157</v>
      </c>
      <c r="E41" s="17" t="s">
        <v>181</v>
      </c>
      <c r="F41" s="183" t="s">
        <v>216</v>
      </c>
      <c r="G41" s="184"/>
      <c r="H41" s="79">
        <f>0.015*D2+0.737</f>
        <v>0.73699999999999999</v>
      </c>
      <c r="I41" s="18" t="s">
        <v>126</v>
      </c>
      <c r="O41" s="201"/>
      <c r="P41" s="201"/>
      <c r="Q41" s="5"/>
    </row>
    <row r="42" spans="2:18" s="31" customFormat="1" ht="19.5" customHeight="1" x14ac:dyDescent="0.4">
      <c r="B42" s="129"/>
      <c r="C42" s="102"/>
      <c r="D42" s="129"/>
      <c r="E42" s="131" t="s">
        <v>38</v>
      </c>
      <c r="F42" s="133" t="s">
        <v>125</v>
      </c>
      <c r="G42" s="134"/>
      <c r="H42" s="217">
        <f>H41*L43*L42*24*10^-6</f>
        <v>0</v>
      </c>
      <c r="I42" s="128" t="s">
        <v>58</v>
      </c>
      <c r="K42" s="37" t="s">
        <v>170</v>
      </c>
      <c r="L42" s="43">
        <f>G2</f>
        <v>0</v>
      </c>
      <c r="O42" s="5"/>
      <c r="P42" s="5"/>
      <c r="Q42" s="5"/>
    </row>
    <row r="43" spans="2:18" ht="19.5" customHeight="1" x14ac:dyDescent="0.4">
      <c r="B43" s="129"/>
      <c r="C43" s="102"/>
      <c r="D43" s="130"/>
      <c r="E43" s="132"/>
      <c r="F43" s="135"/>
      <c r="G43" s="136"/>
      <c r="H43" s="218"/>
      <c r="I43" s="130"/>
      <c r="K43" s="30" t="s">
        <v>222</v>
      </c>
      <c r="L43" s="43">
        <f>G4</f>
        <v>0</v>
      </c>
      <c r="O43" s="201"/>
      <c r="P43" s="201"/>
      <c r="Q43" s="5"/>
      <c r="R43" s="5"/>
    </row>
    <row r="44" spans="2:18" ht="39" customHeight="1" x14ac:dyDescent="0.4">
      <c r="B44" s="129"/>
      <c r="C44" s="102"/>
      <c r="D44" s="128" t="s">
        <v>158</v>
      </c>
      <c r="E44" s="17" t="s">
        <v>178</v>
      </c>
      <c r="F44" s="118" t="s">
        <v>217</v>
      </c>
      <c r="G44" s="119"/>
      <c r="H44" s="79">
        <f>0.0274*D2+1.35</f>
        <v>1.35</v>
      </c>
      <c r="I44" s="18" t="s">
        <v>127</v>
      </c>
      <c r="O44" s="201"/>
      <c r="P44" s="201"/>
      <c r="Q44" s="5"/>
      <c r="R44" s="5"/>
    </row>
    <row r="45" spans="2:18" s="31" customFormat="1" ht="19.5" customHeight="1" x14ac:dyDescent="0.4">
      <c r="B45" s="129"/>
      <c r="C45" s="102"/>
      <c r="D45" s="129"/>
      <c r="E45" s="131" t="s">
        <v>38</v>
      </c>
      <c r="F45" s="133" t="s">
        <v>131</v>
      </c>
      <c r="G45" s="134"/>
      <c r="H45" s="217">
        <f>H44*L46*L45*10^-6</f>
        <v>0</v>
      </c>
      <c r="I45" s="128" t="s">
        <v>59</v>
      </c>
      <c r="K45" s="37" t="s">
        <v>170</v>
      </c>
      <c r="L45" s="43">
        <f>G2</f>
        <v>0</v>
      </c>
      <c r="O45" s="5"/>
      <c r="P45" s="5"/>
      <c r="Q45" s="5"/>
      <c r="R45" s="5"/>
    </row>
    <row r="46" spans="2:18" ht="19.5" customHeight="1" x14ac:dyDescent="0.4">
      <c r="B46" s="129"/>
      <c r="C46" s="102"/>
      <c r="D46" s="130"/>
      <c r="E46" s="132"/>
      <c r="F46" s="135"/>
      <c r="G46" s="136"/>
      <c r="H46" s="218"/>
      <c r="I46" s="130"/>
      <c r="K46" s="30" t="s">
        <v>174</v>
      </c>
      <c r="L46" s="43">
        <f>G5</f>
        <v>0</v>
      </c>
      <c r="O46" s="201"/>
      <c r="P46" s="201"/>
      <c r="Q46" s="5"/>
      <c r="R46" s="5"/>
    </row>
    <row r="47" spans="2:18" ht="19.5" customHeight="1" x14ac:dyDescent="0.4">
      <c r="B47" s="129"/>
      <c r="C47" s="102"/>
      <c r="D47" s="16" t="s">
        <v>159</v>
      </c>
      <c r="E47" s="11" t="s">
        <v>38</v>
      </c>
      <c r="F47" s="118" t="s">
        <v>41</v>
      </c>
      <c r="G47" s="119"/>
      <c r="H47" s="3">
        <v>18</v>
      </c>
      <c r="I47" s="18" t="s">
        <v>60</v>
      </c>
      <c r="O47" s="5"/>
      <c r="P47" s="5"/>
      <c r="Q47" s="5"/>
      <c r="R47" s="5"/>
    </row>
    <row r="48" spans="2:18" ht="19.5" customHeight="1" x14ac:dyDescent="0.4">
      <c r="B48" s="129"/>
      <c r="C48" s="102"/>
      <c r="D48" s="11" t="s">
        <v>12</v>
      </c>
      <c r="E48" s="11" t="s">
        <v>38</v>
      </c>
      <c r="F48" s="118" t="s">
        <v>40</v>
      </c>
      <c r="G48" s="119"/>
      <c r="H48" s="3" t="e">
        <f>+H31+H39+H42+H45+H47</f>
        <v>#VALUE!</v>
      </c>
      <c r="I48" s="18" t="s">
        <v>61</v>
      </c>
      <c r="O48" s="5"/>
      <c r="P48" s="5"/>
      <c r="Q48" s="5"/>
      <c r="R48" s="5"/>
    </row>
    <row r="49" spans="2:18" ht="39" customHeight="1" x14ac:dyDescent="0.4">
      <c r="B49" s="129"/>
      <c r="C49" s="102"/>
      <c r="D49" s="28" t="s">
        <v>160</v>
      </c>
      <c r="E49" s="11" t="s">
        <v>38</v>
      </c>
      <c r="F49" s="118" t="s">
        <v>98</v>
      </c>
      <c r="G49" s="119"/>
      <c r="H49" s="79">
        <f>-0.131*D3^0.7</f>
        <v>0</v>
      </c>
      <c r="I49" s="18" t="s">
        <v>128</v>
      </c>
      <c r="O49" s="5"/>
      <c r="P49" s="5"/>
      <c r="Q49" s="5"/>
      <c r="R49" s="5"/>
    </row>
    <row r="50" spans="2:18" ht="39" customHeight="1" x14ac:dyDescent="0.4">
      <c r="B50" s="129"/>
      <c r="C50" s="102"/>
      <c r="D50" s="28" t="s">
        <v>161</v>
      </c>
      <c r="E50" s="11" t="s">
        <v>38</v>
      </c>
      <c r="F50" s="118" t="s">
        <v>198</v>
      </c>
      <c r="G50" s="119"/>
      <c r="H50" s="3">
        <f>-0.998*D3^0.7</f>
        <v>0</v>
      </c>
      <c r="I50" s="18" t="s">
        <v>129</v>
      </c>
      <c r="O50" s="5"/>
      <c r="P50" s="5"/>
      <c r="Q50" s="5"/>
      <c r="R50" s="5"/>
    </row>
    <row r="51" spans="2:18" s="31" customFormat="1" ht="19.5" customHeight="1" x14ac:dyDescent="0.4">
      <c r="B51" s="129"/>
      <c r="C51" s="102"/>
      <c r="D51" s="170" t="s">
        <v>162</v>
      </c>
      <c r="E51" s="145" t="s">
        <v>208</v>
      </c>
      <c r="F51" s="141" t="s">
        <v>215</v>
      </c>
      <c r="G51" s="142"/>
      <c r="H51" s="151">
        <f>(0.213*D3+10.5)*L51*24</f>
        <v>0</v>
      </c>
      <c r="I51" s="128" t="s">
        <v>130</v>
      </c>
      <c r="K51" s="37" t="s">
        <v>169</v>
      </c>
      <c r="L51" s="43">
        <f>G2</f>
        <v>0</v>
      </c>
      <c r="O51" s="5"/>
      <c r="P51" s="5"/>
      <c r="Q51" s="5"/>
      <c r="R51" s="5"/>
    </row>
    <row r="52" spans="2:18" ht="19.5" customHeight="1" x14ac:dyDescent="0.4">
      <c r="B52" s="129"/>
      <c r="C52" s="102"/>
      <c r="D52" s="204"/>
      <c r="E52" s="146"/>
      <c r="F52" s="143"/>
      <c r="G52" s="144"/>
      <c r="H52" s="152"/>
      <c r="I52" s="130"/>
      <c r="K52" s="32"/>
      <c r="L52" s="32"/>
      <c r="O52" s="5"/>
      <c r="P52" s="5"/>
      <c r="Q52" s="5"/>
      <c r="R52" s="5"/>
    </row>
    <row r="53" spans="2:18" s="31" customFormat="1" ht="19.5" customHeight="1" x14ac:dyDescent="0.4">
      <c r="B53" s="129"/>
      <c r="C53" s="102"/>
      <c r="D53" s="204"/>
      <c r="E53" s="131" t="s">
        <v>38</v>
      </c>
      <c r="F53" s="141" t="s">
        <v>209</v>
      </c>
      <c r="G53" s="142"/>
      <c r="H53" s="159">
        <f>-H51*L53*10^-6</f>
        <v>0</v>
      </c>
      <c r="I53" s="128" t="s">
        <v>62</v>
      </c>
      <c r="K53" s="37" t="s">
        <v>173</v>
      </c>
      <c r="L53" s="43">
        <f>G3</f>
        <v>0</v>
      </c>
      <c r="O53" s="5"/>
      <c r="P53" s="5"/>
      <c r="Q53" s="5"/>
      <c r="R53" s="5"/>
    </row>
    <row r="54" spans="2:18" ht="19.5" customHeight="1" x14ac:dyDescent="0.4">
      <c r="B54" s="129"/>
      <c r="C54" s="102"/>
      <c r="D54" s="171"/>
      <c r="E54" s="132"/>
      <c r="F54" s="143"/>
      <c r="G54" s="144"/>
      <c r="H54" s="160"/>
      <c r="I54" s="130"/>
      <c r="O54" s="5"/>
      <c r="P54" s="5"/>
      <c r="Q54" s="5"/>
      <c r="R54" s="5"/>
    </row>
    <row r="55" spans="2:18" ht="19.5" customHeight="1" x14ac:dyDescent="0.4">
      <c r="B55" s="129"/>
      <c r="C55" s="102"/>
      <c r="D55" s="42" t="s">
        <v>16</v>
      </c>
      <c r="E55" s="11" t="s">
        <v>38</v>
      </c>
      <c r="F55" s="118" t="s">
        <v>40</v>
      </c>
      <c r="G55" s="119"/>
      <c r="H55" s="3">
        <f>+H49+H50+H53</f>
        <v>0</v>
      </c>
      <c r="I55" s="18" t="s">
        <v>63</v>
      </c>
      <c r="O55" s="5"/>
      <c r="P55" s="5"/>
      <c r="Q55" s="5"/>
      <c r="R55" s="5"/>
    </row>
    <row r="56" spans="2:18" ht="19.5" customHeight="1" x14ac:dyDescent="0.4">
      <c r="B56" s="129"/>
      <c r="C56" s="106" t="s">
        <v>163</v>
      </c>
      <c r="D56" s="106"/>
      <c r="E56" s="11" t="s">
        <v>38</v>
      </c>
      <c r="F56" s="118" t="s">
        <v>40</v>
      </c>
      <c r="G56" s="119"/>
      <c r="H56" s="26">
        <f>+H16+H27</f>
        <v>31.599166920115586</v>
      </c>
      <c r="I56" s="18" t="s">
        <v>64</v>
      </c>
    </row>
    <row r="57" spans="2:18" ht="19.5" customHeight="1" x14ac:dyDescent="0.4">
      <c r="B57" s="129"/>
      <c r="C57" s="106" t="s">
        <v>164</v>
      </c>
      <c r="D57" s="106"/>
      <c r="E57" s="11" t="s">
        <v>38</v>
      </c>
      <c r="F57" s="118" t="s">
        <v>40</v>
      </c>
      <c r="G57" s="119"/>
      <c r="H57" s="26" t="e">
        <f>+H18+H48+H55</f>
        <v>#VALUE!</v>
      </c>
      <c r="I57" s="18" t="s">
        <v>65</v>
      </c>
    </row>
    <row r="58" spans="2:18" ht="19.5" customHeight="1" x14ac:dyDescent="0.4">
      <c r="B58" s="130"/>
      <c r="C58" s="169" t="s">
        <v>165</v>
      </c>
      <c r="D58" s="169"/>
      <c r="E58" s="11" t="s">
        <v>38</v>
      </c>
      <c r="F58" s="118" t="s">
        <v>40</v>
      </c>
      <c r="G58" s="119"/>
      <c r="H58" s="80" t="e">
        <f>+H56+H57</f>
        <v>#VALUE!</v>
      </c>
      <c r="I58" s="15" t="s">
        <v>66</v>
      </c>
    </row>
    <row r="59" spans="2:18" ht="39" customHeight="1" x14ac:dyDescent="0.4">
      <c r="B59" s="103" t="s">
        <v>76</v>
      </c>
      <c r="C59" s="164"/>
      <c r="D59" s="166"/>
      <c r="E59" s="23" t="s">
        <v>72</v>
      </c>
      <c r="F59" s="118" t="s">
        <v>40</v>
      </c>
      <c r="G59" s="119"/>
      <c r="H59" s="81" t="e">
        <f>1-H58/H20</f>
        <v>#VALUE!</v>
      </c>
      <c r="I59" s="18" t="s">
        <v>74</v>
      </c>
    </row>
    <row r="60" spans="2:18" s="44" customFormat="1" ht="19.5" customHeight="1" x14ac:dyDescent="0.4"/>
    <row r="61" spans="2:18" ht="33" x14ac:dyDescent="0.4">
      <c r="B61" s="19" t="s">
        <v>22</v>
      </c>
    </row>
    <row r="62" spans="2:18" ht="19.5" customHeight="1" x14ac:dyDescent="0.4">
      <c r="B62" s="106" t="s">
        <v>20</v>
      </c>
      <c r="C62" s="106"/>
      <c r="D62" s="106"/>
      <c r="E62" s="11" t="s">
        <v>28</v>
      </c>
      <c r="F62" s="118" t="s">
        <v>27</v>
      </c>
      <c r="G62" s="119"/>
      <c r="H62" s="22" t="s">
        <v>67</v>
      </c>
    </row>
    <row r="63" spans="2:18" ht="19.5" customHeight="1" x14ac:dyDescent="0.4">
      <c r="B63" s="102" t="s">
        <v>0</v>
      </c>
      <c r="C63" s="102"/>
      <c r="D63" s="34" t="s">
        <v>14</v>
      </c>
      <c r="E63" s="11" t="s">
        <v>25</v>
      </c>
      <c r="F63" s="222">
        <f>+H26</f>
        <v>400.67099999999999</v>
      </c>
      <c r="G63" s="223"/>
      <c r="H63" s="25" t="s">
        <v>68</v>
      </c>
    </row>
    <row r="64" spans="2:18" ht="19.5" customHeight="1" x14ac:dyDescent="0.4">
      <c r="B64" s="102" t="s">
        <v>4</v>
      </c>
      <c r="C64" s="102"/>
      <c r="D64" s="34" t="s">
        <v>24</v>
      </c>
      <c r="E64" s="131" t="s">
        <v>26</v>
      </c>
      <c r="F64" s="219">
        <f>+H42+H45+H47</f>
        <v>18</v>
      </c>
      <c r="G64" s="119"/>
      <c r="H64" s="18" t="s">
        <v>69</v>
      </c>
    </row>
    <row r="65" spans="2:16" ht="19.5" customHeight="1" x14ac:dyDescent="0.4">
      <c r="B65" s="102" t="s">
        <v>23</v>
      </c>
      <c r="C65" s="102"/>
      <c r="D65" s="34" t="s">
        <v>194</v>
      </c>
      <c r="E65" s="132"/>
      <c r="F65" s="219" t="e">
        <f>+H31+H39+H49+H50+H53</f>
        <v>#VALUE!</v>
      </c>
      <c r="G65" s="119"/>
      <c r="H65" s="18" t="s">
        <v>70</v>
      </c>
    </row>
    <row r="66" spans="2:16" ht="39" customHeight="1" x14ac:dyDescent="0.4">
      <c r="B66" s="107" t="s">
        <v>22</v>
      </c>
      <c r="C66" s="167"/>
      <c r="D66" s="167"/>
      <c r="E66" s="13" t="s">
        <v>29</v>
      </c>
      <c r="F66" s="220" t="e">
        <f>-F63/(F65+F64)</f>
        <v>#VALUE!</v>
      </c>
      <c r="G66" s="221"/>
      <c r="H66" s="27" t="s">
        <v>71</v>
      </c>
    </row>
    <row r="67" spans="2:16" ht="19.5" customHeight="1" x14ac:dyDescent="0.4"/>
    <row r="68" spans="2:16" ht="33" x14ac:dyDescent="0.4">
      <c r="B68" s="19" t="s">
        <v>30</v>
      </c>
    </row>
    <row r="69" spans="2:16" ht="19.5" customHeight="1" x14ac:dyDescent="0.4">
      <c r="B69" s="106" t="s">
        <v>20</v>
      </c>
      <c r="C69" s="106"/>
      <c r="D69" s="106"/>
      <c r="E69" s="11" t="s">
        <v>28</v>
      </c>
      <c r="F69" s="118" t="s">
        <v>44</v>
      </c>
      <c r="G69" s="119"/>
      <c r="H69" s="10" t="s">
        <v>51</v>
      </c>
      <c r="I69" s="11" t="s">
        <v>43</v>
      </c>
    </row>
    <row r="70" spans="2:16" ht="19.5" customHeight="1" x14ac:dyDescent="0.4">
      <c r="B70" s="178" t="s">
        <v>17</v>
      </c>
      <c r="C70" s="173"/>
      <c r="D70" s="71" t="s">
        <v>31</v>
      </c>
      <c r="E70" s="38" t="s">
        <v>42</v>
      </c>
      <c r="F70" s="114" t="s">
        <v>186</v>
      </c>
      <c r="G70" s="115"/>
      <c r="H70" s="39">
        <f>(1.12*D3+266)*L70*24*10^-3</f>
        <v>0</v>
      </c>
      <c r="I70" s="40" t="s">
        <v>132</v>
      </c>
      <c r="K70" s="37" t="s">
        <v>170</v>
      </c>
      <c r="L70" s="43">
        <f>G2</f>
        <v>0</v>
      </c>
    </row>
    <row r="71" spans="2:16" s="29" customFormat="1" ht="58.5" customHeight="1" x14ac:dyDescent="0.4">
      <c r="B71" s="174"/>
      <c r="C71" s="175"/>
      <c r="D71" s="72" t="s">
        <v>105</v>
      </c>
      <c r="E71" s="38" t="s">
        <v>42</v>
      </c>
      <c r="F71" s="122" t="s">
        <v>187</v>
      </c>
      <c r="G71" s="123"/>
      <c r="H71" s="39" t="e">
        <f>G7*L70*24*J6*10^-3*L71</f>
        <v>#VALUE!</v>
      </c>
      <c r="I71" s="40" t="s">
        <v>87</v>
      </c>
      <c r="K71" s="17" t="s">
        <v>175</v>
      </c>
      <c r="L71" s="43">
        <v>0.27779999999999999</v>
      </c>
      <c r="M71" s="31"/>
      <c r="N71" s="31"/>
    </row>
    <row r="72" spans="2:16" s="29" customFormat="1" ht="19.5" customHeight="1" x14ac:dyDescent="0.4">
      <c r="B72" s="176"/>
      <c r="C72" s="177"/>
      <c r="D72" s="38" t="s">
        <v>79</v>
      </c>
      <c r="E72" s="38" t="s">
        <v>42</v>
      </c>
      <c r="F72" s="116" t="s">
        <v>40</v>
      </c>
      <c r="G72" s="117"/>
      <c r="H72" s="39" t="e">
        <f>H70+H71</f>
        <v>#VALUE!</v>
      </c>
      <c r="I72" s="40" t="s">
        <v>141</v>
      </c>
      <c r="K72" s="31"/>
      <c r="L72" s="31"/>
      <c r="M72" s="31"/>
      <c r="N72" s="31"/>
    </row>
    <row r="73" spans="2:16" ht="39" customHeight="1" x14ac:dyDescent="0.4">
      <c r="B73" s="172" t="s">
        <v>184</v>
      </c>
      <c r="C73" s="173"/>
      <c r="D73" s="179" t="s">
        <v>166</v>
      </c>
      <c r="E73" s="73" t="s">
        <v>180</v>
      </c>
      <c r="F73" s="114" t="s">
        <v>199</v>
      </c>
      <c r="G73" s="115"/>
      <c r="H73" s="39">
        <f>(1.12*D3+266)+(0.119*D3+65.1)-(0.213*D3+10.462)</f>
        <v>320.63800000000003</v>
      </c>
      <c r="I73" s="40" t="s">
        <v>133</v>
      </c>
    </row>
    <row r="74" spans="2:16" ht="19.5" customHeight="1" x14ac:dyDescent="0.4">
      <c r="B74" s="174"/>
      <c r="C74" s="175"/>
      <c r="D74" s="180"/>
      <c r="E74" s="49" t="s">
        <v>42</v>
      </c>
      <c r="F74" s="114" t="s">
        <v>188</v>
      </c>
      <c r="G74" s="115"/>
      <c r="H74" s="39">
        <f>H73*L74*24*10^-3</f>
        <v>0</v>
      </c>
      <c r="I74" s="40" t="s">
        <v>47</v>
      </c>
      <c r="K74" s="37" t="s">
        <v>170</v>
      </c>
      <c r="L74" s="43">
        <f>G2</f>
        <v>0</v>
      </c>
    </row>
    <row r="75" spans="2:16" s="29" customFormat="1" ht="58.5" customHeight="1" x14ac:dyDescent="0.4">
      <c r="B75" s="174"/>
      <c r="C75" s="175"/>
      <c r="D75" s="74" t="s">
        <v>106</v>
      </c>
      <c r="E75" s="38" t="s">
        <v>42</v>
      </c>
      <c r="F75" s="122" t="s">
        <v>189</v>
      </c>
      <c r="G75" s="123"/>
      <c r="H75" s="39" t="e">
        <f>G7*L74*24*J6*10^-3*L75</f>
        <v>#VALUE!</v>
      </c>
      <c r="I75" s="40" t="s">
        <v>88</v>
      </c>
      <c r="K75" s="17" t="s">
        <v>175</v>
      </c>
      <c r="L75" s="43">
        <v>0.27779999999999999</v>
      </c>
      <c r="M75" s="31"/>
      <c r="N75" s="31"/>
    </row>
    <row r="76" spans="2:16" s="29" customFormat="1" ht="19.5" customHeight="1" x14ac:dyDescent="0.4">
      <c r="B76" s="176"/>
      <c r="C76" s="177"/>
      <c r="D76" s="41" t="s">
        <v>79</v>
      </c>
      <c r="E76" s="38" t="s">
        <v>42</v>
      </c>
      <c r="F76" s="116" t="s">
        <v>40</v>
      </c>
      <c r="G76" s="117"/>
      <c r="H76" s="39" t="e">
        <f>H74+H75</f>
        <v>#VALUE!</v>
      </c>
      <c r="I76" s="40" t="s">
        <v>134</v>
      </c>
      <c r="K76" s="31"/>
      <c r="L76" s="31"/>
      <c r="M76" s="31"/>
      <c r="N76" s="31"/>
    </row>
    <row r="77" spans="2:16" ht="19.5" customHeight="1" x14ac:dyDescent="0.4">
      <c r="B77" s="168" t="s">
        <v>9</v>
      </c>
      <c r="C77" s="168"/>
      <c r="D77" s="71" t="s">
        <v>32</v>
      </c>
      <c r="E77" s="49" t="s">
        <v>42</v>
      </c>
      <c r="F77" s="114" t="s">
        <v>190</v>
      </c>
      <c r="G77" s="115"/>
      <c r="H77" s="39" t="e">
        <f>H36*L77*24*10^-3</f>
        <v>#VALUE!</v>
      </c>
      <c r="I77" s="40" t="s">
        <v>89</v>
      </c>
      <c r="K77" s="37" t="s">
        <v>170</v>
      </c>
      <c r="L77" s="43">
        <f>G2</f>
        <v>0</v>
      </c>
    </row>
    <row r="78" spans="2:16" ht="39" customHeight="1" x14ac:dyDescent="0.4">
      <c r="B78" s="185" t="s">
        <v>30</v>
      </c>
      <c r="C78" s="186"/>
      <c r="D78" s="186"/>
      <c r="E78" s="75" t="s">
        <v>72</v>
      </c>
      <c r="F78" s="116" t="s">
        <v>73</v>
      </c>
      <c r="G78" s="117"/>
      <c r="H78" s="82" t="e">
        <f>1-(H76-H77)/H72</f>
        <v>#VALUE!</v>
      </c>
      <c r="I78" s="40" t="s">
        <v>200</v>
      </c>
      <c r="P78" s="1" t="s">
        <v>195</v>
      </c>
    </row>
    <row r="79" spans="2:16" ht="19.5" customHeight="1" x14ac:dyDescent="0.4"/>
    <row r="80" spans="2:16" ht="33" customHeight="1" x14ac:dyDescent="0.4">
      <c r="B80" s="19" t="s">
        <v>33</v>
      </c>
    </row>
    <row r="81" spans="2:18" ht="19.5" customHeight="1" x14ac:dyDescent="0.4">
      <c r="B81" s="106" t="s">
        <v>20</v>
      </c>
      <c r="C81" s="106"/>
      <c r="D81" s="106"/>
      <c r="E81" s="11" t="s">
        <v>28</v>
      </c>
      <c r="F81" s="118" t="s">
        <v>44</v>
      </c>
      <c r="G81" s="119"/>
      <c r="H81" s="10" t="s">
        <v>34</v>
      </c>
      <c r="I81" s="11" t="s">
        <v>18</v>
      </c>
    </row>
    <row r="82" spans="2:18" ht="19.5" customHeight="1" x14ac:dyDescent="0.4">
      <c r="B82" s="187" t="s">
        <v>17</v>
      </c>
      <c r="C82" s="188"/>
      <c r="D82" s="34" t="s">
        <v>35</v>
      </c>
      <c r="E82" s="17" t="s">
        <v>50</v>
      </c>
      <c r="F82" s="118" t="s">
        <v>139</v>
      </c>
      <c r="G82" s="119"/>
      <c r="H82" s="2" t="e">
        <f>H72*0.555</f>
        <v>#VALUE!</v>
      </c>
      <c r="I82" s="18" t="s">
        <v>46</v>
      </c>
    </row>
    <row r="83" spans="2:18" s="29" customFormat="1" ht="19.5" customHeight="1" x14ac:dyDescent="0.4">
      <c r="B83" s="189"/>
      <c r="C83" s="190"/>
      <c r="D83" s="200" t="s">
        <v>80</v>
      </c>
      <c r="E83" s="181" t="s">
        <v>191</v>
      </c>
      <c r="F83" s="124" t="s">
        <v>223</v>
      </c>
      <c r="G83" s="125"/>
      <c r="H83" s="120" t="e">
        <f>G7*L83*24*J7*10^-3</f>
        <v>#VALUE!</v>
      </c>
      <c r="I83" s="179" t="s">
        <v>87</v>
      </c>
      <c r="K83" s="37" t="s">
        <v>170</v>
      </c>
      <c r="L83" s="43">
        <f>G2</f>
        <v>0</v>
      </c>
      <c r="M83" s="31"/>
      <c r="N83" s="31"/>
    </row>
    <row r="84" spans="2:18" s="35" customFormat="1" ht="19.5" customHeight="1" x14ac:dyDescent="0.4">
      <c r="B84" s="189"/>
      <c r="C84" s="190"/>
      <c r="D84" s="180"/>
      <c r="E84" s="182"/>
      <c r="F84" s="126"/>
      <c r="G84" s="127"/>
      <c r="H84" s="121"/>
      <c r="I84" s="180"/>
    </row>
    <row r="85" spans="2:18" ht="19.5" customHeight="1" x14ac:dyDescent="0.4">
      <c r="B85" s="189"/>
      <c r="C85" s="190"/>
      <c r="D85" s="179" t="s">
        <v>192</v>
      </c>
      <c r="E85" s="181" t="s">
        <v>193</v>
      </c>
      <c r="F85" s="141" t="s">
        <v>135</v>
      </c>
      <c r="G85" s="142"/>
      <c r="H85" s="198">
        <f>0.000645*D3*L83</f>
        <v>0</v>
      </c>
      <c r="I85" s="179" t="s">
        <v>133</v>
      </c>
      <c r="K85" s="35"/>
      <c r="L85" s="35"/>
    </row>
    <row r="86" spans="2:18" s="31" customFormat="1" ht="19.5" customHeight="1" x14ac:dyDescent="0.4">
      <c r="B86" s="189"/>
      <c r="C86" s="190"/>
      <c r="D86" s="193"/>
      <c r="E86" s="182"/>
      <c r="F86" s="143"/>
      <c r="G86" s="144"/>
      <c r="H86" s="199"/>
      <c r="I86" s="180"/>
      <c r="K86" s="35"/>
      <c r="L86" s="35"/>
    </row>
    <row r="87" spans="2:18" ht="19.5" customHeight="1" x14ac:dyDescent="0.4">
      <c r="B87" s="189"/>
      <c r="C87" s="190"/>
      <c r="D87" s="180"/>
      <c r="E87" s="73" t="s">
        <v>191</v>
      </c>
      <c r="F87" s="118" t="s">
        <v>136</v>
      </c>
      <c r="G87" s="119"/>
      <c r="H87" s="39">
        <f>H85*298</f>
        <v>0</v>
      </c>
      <c r="I87" s="40" t="s">
        <v>49</v>
      </c>
    </row>
    <row r="88" spans="2:18" ht="19.5" customHeight="1" x14ac:dyDescent="0.4">
      <c r="B88" s="191"/>
      <c r="C88" s="192"/>
      <c r="D88" s="49" t="s">
        <v>5</v>
      </c>
      <c r="E88" s="73" t="s">
        <v>191</v>
      </c>
      <c r="F88" s="118" t="s">
        <v>75</v>
      </c>
      <c r="G88" s="119"/>
      <c r="H88" s="39" t="e">
        <f>+H82+H83+H87</f>
        <v>#VALUE!</v>
      </c>
      <c r="I88" s="40" t="s">
        <v>90</v>
      </c>
    </row>
    <row r="89" spans="2:18" ht="19.5" customHeight="1" x14ac:dyDescent="0.4">
      <c r="B89" s="194" t="s">
        <v>184</v>
      </c>
      <c r="C89" s="195"/>
      <c r="D89" s="74" t="s">
        <v>167</v>
      </c>
      <c r="E89" s="73" t="s">
        <v>191</v>
      </c>
      <c r="F89" s="118" t="s">
        <v>137</v>
      </c>
      <c r="G89" s="119"/>
      <c r="H89" s="39" t="e">
        <f>H76*0.555</f>
        <v>#VALUE!</v>
      </c>
      <c r="I89" s="40" t="s">
        <v>48</v>
      </c>
    </row>
    <row r="90" spans="2:18" s="29" customFormat="1" ht="19.5" customHeight="1" x14ac:dyDescent="0.4">
      <c r="B90" s="189"/>
      <c r="C90" s="196"/>
      <c r="D90" s="179" t="s">
        <v>80</v>
      </c>
      <c r="E90" s="181" t="s">
        <v>191</v>
      </c>
      <c r="F90" s="124" t="s">
        <v>223</v>
      </c>
      <c r="G90" s="125"/>
      <c r="H90" s="120" t="e">
        <f>G7*L90*24*J7*10^-3</f>
        <v>#VALUE!</v>
      </c>
      <c r="I90" s="179" t="s">
        <v>91</v>
      </c>
      <c r="K90" s="37" t="s">
        <v>169</v>
      </c>
      <c r="L90" s="43">
        <f>G2</f>
        <v>0</v>
      </c>
      <c r="M90" s="31"/>
      <c r="N90" s="31"/>
    </row>
    <row r="91" spans="2:18" s="35" customFormat="1" ht="19.5" customHeight="1" x14ac:dyDescent="0.4">
      <c r="B91" s="189"/>
      <c r="C91" s="196"/>
      <c r="D91" s="180"/>
      <c r="E91" s="182"/>
      <c r="F91" s="126"/>
      <c r="G91" s="127"/>
      <c r="H91" s="121"/>
      <c r="I91" s="180"/>
    </row>
    <row r="92" spans="2:18" ht="19.5" customHeight="1" x14ac:dyDescent="0.4">
      <c r="B92" s="189"/>
      <c r="C92" s="196"/>
      <c r="D92" s="128" t="s">
        <v>168</v>
      </c>
      <c r="E92" s="145" t="s">
        <v>177</v>
      </c>
      <c r="F92" s="141" t="s">
        <v>138</v>
      </c>
      <c r="G92" s="142"/>
      <c r="H92" s="198">
        <f>0.000232*D3*L90</f>
        <v>0</v>
      </c>
      <c r="I92" s="179" t="s">
        <v>45</v>
      </c>
      <c r="K92" s="35"/>
      <c r="L92" s="35"/>
    </row>
    <row r="93" spans="2:18" s="31" customFormat="1" ht="19.5" customHeight="1" x14ac:dyDescent="0.4">
      <c r="B93" s="189"/>
      <c r="C93" s="196"/>
      <c r="D93" s="129"/>
      <c r="E93" s="146"/>
      <c r="F93" s="143"/>
      <c r="G93" s="144"/>
      <c r="H93" s="199"/>
      <c r="I93" s="180"/>
      <c r="K93" s="35"/>
      <c r="L93" s="35"/>
    </row>
    <row r="94" spans="2:18" ht="19.5" customHeight="1" x14ac:dyDescent="0.4">
      <c r="B94" s="189"/>
      <c r="C94" s="196"/>
      <c r="D94" s="130"/>
      <c r="E94" s="17" t="s">
        <v>50</v>
      </c>
      <c r="F94" s="118" t="s">
        <v>136</v>
      </c>
      <c r="G94" s="119"/>
      <c r="H94" s="39">
        <f>H92*298</f>
        <v>0</v>
      </c>
      <c r="I94" s="77" t="s">
        <v>92</v>
      </c>
      <c r="O94" s="165"/>
      <c r="P94" s="165"/>
      <c r="Q94" s="6"/>
      <c r="R94" s="7"/>
    </row>
    <row r="95" spans="2:18" ht="19.5" customHeight="1" x14ac:dyDescent="0.4">
      <c r="B95" s="189"/>
      <c r="C95" s="196"/>
      <c r="D95" s="34" t="s">
        <v>36</v>
      </c>
      <c r="E95" s="17" t="s">
        <v>50</v>
      </c>
      <c r="F95" s="118" t="s">
        <v>140</v>
      </c>
      <c r="G95" s="119"/>
      <c r="H95" s="39" t="e">
        <f>-H37*0.555</f>
        <v>#VALUE!</v>
      </c>
      <c r="I95" s="77" t="s">
        <v>93</v>
      </c>
      <c r="O95" s="1"/>
    </row>
    <row r="96" spans="2:18" ht="19.5" customHeight="1" x14ac:dyDescent="0.4">
      <c r="B96" s="191"/>
      <c r="C96" s="197"/>
      <c r="D96" s="21" t="s">
        <v>5</v>
      </c>
      <c r="E96" s="17" t="s">
        <v>50</v>
      </c>
      <c r="F96" s="118" t="s">
        <v>75</v>
      </c>
      <c r="G96" s="119"/>
      <c r="H96" s="39" t="e">
        <f>+H89+H90+H94+H95</f>
        <v>#VALUE!</v>
      </c>
      <c r="I96" s="77" t="s">
        <v>94</v>
      </c>
      <c r="Q96" s="4"/>
      <c r="R96" s="1"/>
    </row>
    <row r="97" spans="2:18" ht="39" customHeight="1" x14ac:dyDescent="0.4">
      <c r="B97" s="103" t="s">
        <v>33</v>
      </c>
      <c r="C97" s="164"/>
      <c r="D97" s="164"/>
      <c r="E97" s="23" t="s">
        <v>72</v>
      </c>
      <c r="F97" s="112" t="s">
        <v>73</v>
      </c>
      <c r="G97" s="113"/>
      <c r="H97" s="76" t="e">
        <f>1-H96/H88</f>
        <v>#VALUE!</v>
      </c>
      <c r="I97" s="78" t="s">
        <v>176</v>
      </c>
      <c r="Q97" s="8"/>
      <c r="R97" s="1"/>
    </row>
  </sheetData>
  <mergeCells count="182">
    <mergeCell ref="F64:G64"/>
    <mergeCell ref="F55:G55"/>
    <mergeCell ref="F56:G56"/>
    <mergeCell ref="F57:G57"/>
    <mergeCell ref="F65:G65"/>
    <mergeCell ref="F66:G66"/>
    <mergeCell ref="F69:G69"/>
    <mergeCell ref="F70:G70"/>
    <mergeCell ref="F73:G73"/>
    <mergeCell ref="F59:G59"/>
    <mergeCell ref="F62:G62"/>
    <mergeCell ref="F63:G63"/>
    <mergeCell ref="F58:G58"/>
    <mergeCell ref="F71:G71"/>
    <mergeCell ref="F72:G72"/>
    <mergeCell ref="L32:L33"/>
    <mergeCell ref="I37:I38"/>
    <mergeCell ref="I39:I40"/>
    <mergeCell ref="I31:I32"/>
    <mergeCell ref="H33:H35"/>
    <mergeCell ref="I33:I35"/>
    <mergeCell ref="H53:H54"/>
    <mergeCell ref="O44:P44"/>
    <mergeCell ref="I53:I54"/>
    <mergeCell ref="H51:H52"/>
    <mergeCell ref="I51:I52"/>
    <mergeCell ref="H42:H43"/>
    <mergeCell ref="H45:H46"/>
    <mergeCell ref="Q3:R3"/>
    <mergeCell ref="S3:T3"/>
    <mergeCell ref="J6:K6"/>
    <mergeCell ref="J7:K7"/>
    <mergeCell ref="O28:P28"/>
    <mergeCell ref="D73:D74"/>
    <mergeCell ref="E20:E21"/>
    <mergeCell ref="D51:D54"/>
    <mergeCell ref="D20:D21"/>
    <mergeCell ref="I42:I43"/>
    <mergeCell ref="I45:I46"/>
    <mergeCell ref="K20:K21"/>
    <mergeCell ref="L20:L21"/>
    <mergeCell ref="I20:I21"/>
    <mergeCell ref="H16:H17"/>
    <mergeCell ref="I16:I17"/>
    <mergeCell ref="K32:K33"/>
    <mergeCell ref="H18:H19"/>
    <mergeCell ref="I29:I30"/>
    <mergeCell ref="H27:H28"/>
    <mergeCell ref="I27:I28"/>
    <mergeCell ref="K29:L29"/>
    <mergeCell ref="O46:P46"/>
    <mergeCell ref="F44:G44"/>
    <mergeCell ref="O13:O15"/>
    <mergeCell ref="R13:R14"/>
    <mergeCell ref="O16:P16"/>
    <mergeCell ref="F15:G15"/>
    <mergeCell ref="B64:C64"/>
    <mergeCell ref="B69:D69"/>
    <mergeCell ref="C57:D57"/>
    <mergeCell ref="O30:P30"/>
    <mergeCell ref="D33:D40"/>
    <mergeCell ref="O38:P38"/>
    <mergeCell ref="O40:P40"/>
    <mergeCell ref="D41:D43"/>
    <mergeCell ref="O41:P41"/>
    <mergeCell ref="O43:P43"/>
    <mergeCell ref="C22:C55"/>
    <mergeCell ref="O25:P25"/>
    <mergeCell ref="O26:P26"/>
    <mergeCell ref="I18:I19"/>
    <mergeCell ref="K18:L18"/>
    <mergeCell ref="D27:D28"/>
    <mergeCell ref="E27:E28"/>
    <mergeCell ref="F27:G28"/>
    <mergeCell ref="E29:E30"/>
    <mergeCell ref="F29:G30"/>
    <mergeCell ref="O94:P94"/>
    <mergeCell ref="B81:D81"/>
    <mergeCell ref="B82:C88"/>
    <mergeCell ref="D85:D87"/>
    <mergeCell ref="B89:C96"/>
    <mergeCell ref="D92:D94"/>
    <mergeCell ref="F87:G87"/>
    <mergeCell ref="F88:G88"/>
    <mergeCell ref="F89:G89"/>
    <mergeCell ref="F94:G94"/>
    <mergeCell ref="F95:G95"/>
    <mergeCell ref="F96:G96"/>
    <mergeCell ref="I85:I86"/>
    <mergeCell ref="F92:G93"/>
    <mergeCell ref="H92:H93"/>
    <mergeCell ref="I92:I93"/>
    <mergeCell ref="I90:I91"/>
    <mergeCell ref="E83:E84"/>
    <mergeCell ref="D83:D84"/>
    <mergeCell ref="I83:I84"/>
    <mergeCell ref="E85:E86"/>
    <mergeCell ref="E92:E93"/>
    <mergeCell ref="F85:G86"/>
    <mergeCell ref="H85:H86"/>
    <mergeCell ref="D90:D91"/>
    <mergeCell ref="E90:E91"/>
    <mergeCell ref="F90:G91"/>
    <mergeCell ref="B2:C2"/>
    <mergeCell ref="F11:G11"/>
    <mergeCell ref="F12:G12"/>
    <mergeCell ref="F13:G13"/>
    <mergeCell ref="F14:G14"/>
    <mergeCell ref="F36:G36"/>
    <mergeCell ref="F18:G19"/>
    <mergeCell ref="E53:E54"/>
    <mergeCell ref="F51:G52"/>
    <mergeCell ref="F53:G54"/>
    <mergeCell ref="F22:G22"/>
    <mergeCell ref="F23:G23"/>
    <mergeCell ref="F24:G24"/>
    <mergeCell ref="F25:G25"/>
    <mergeCell ref="F26:G26"/>
    <mergeCell ref="F50:G50"/>
    <mergeCell ref="F41:G41"/>
    <mergeCell ref="E16:E17"/>
    <mergeCell ref="B78:D78"/>
    <mergeCell ref="F42:G43"/>
    <mergeCell ref="F45:G46"/>
    <mergeCell ref="B97:D97"/>
    <mergeCell ref="B3:C3"/>
    <mergeCell ref="B4:C4"/>
    <mergeCell ref="B5:C5"/>
    <mergeCell ref="B6:C6"/>
    <mergeCell ref="B7:C7"/>
    <mergeCell ref="B8:C8"/>
    <mergeCell ref="E64:E65"/>
    <mergeCell ref="B65:C65"/>
    <mergeCell ref="B22:B58"/>
    <mergeCell ref="B59:D59"/>
    <mergeCell ref="B66:D66"/>
    <mergeCell ref="C56:D56"/>
    <mergeCell ref="B77:C77"/>
    <mergeCell ref="C58:D58"/>
    <mergeCell ref="B62:D62"/>
    <mergeCell ref="B63:C63"/>
    <mergeCell ref="D18:D19"/>
    <mergeCell ref="E18:E19"/>
    <mergeCell ref="B73:C76"/>
    <mergeCell ref="B70:C72"/>
    <mergeCell ref="E42:E43"/>
    <mergeCell ref="E45:E46"/>
    <mergeCell ref="E51:E52"/>
    <mergeCell ref="B12:B21"/>
    <mergeCell ref="C12:C21"/>
    <mergeCell ref="D16:D17"/>
    <mergeCell ref="F16:G17"/>
    <mergeCell ref="D44:D46"/>
    <mergeCell ref="H29:H30"/>
    <mergeCell ref="F47:G47"/>
    <mergeCell ref="F48:G48"/>
    <mergeCell ref="F49:G49"/>
    <mergeCell ref="H20:H21"/>
    <mergeCell ref="F20:G21"/>
    <mergeCell ref="D29:D32"/>
    <mergeCell ref="E37:E38"/>
    <mergeCell ref="F37:G38"/>
    <mergeCell ref="H37:H38"/>
    <mergeCell ref="E39:E40"/>
    <mergeCell ref="F39:G40"/>
    <mergeCell ref="H39:H40"/>
    <mergeCell ref="E31:E32"/>
    <mergeCell ref="F31:G32"/>
    <mergeCell ref="H31:H32"/>
    <mergeCell ref="E33:E35"/>
    <mergeCell ref="F33:G35"/>
    <mergeCell ref="F97:G97"/>
    <mergeCell ref="F74:G74"/>
    <mergeCell ref="F77:G77"/>
    <mergeCell ref="F78:G78"/>
    <mergeCell ref="F81:G81"/>
    <mergeCell ref="F82:G82"/>
    <mergeCell ref="H90:H91"/>
    <mergeCell ref="F75:G75"/>
    <mergeCell ref="F76:G76"/>
    <mergeCell ref="F83:G84"/>
    <mergeCell ref="H83:H84"/>
  </mergeCells>
  <phoneticPr fontId="1"/>
  <dataValidations count="1">
    <dataValidation type="list" allowBlank="1" showInputMessage="1" showErrorMessage="1" sqref="G6" xr:uid="{00000000-0002-0000-0000-000000000000}">
      <formula1>"都市ガス,消化ガス,,灯油,A重油"</formula1>
    </dataValidation>
  </dataValidations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A714A18FE38604798ABBD590E7C4437" ma:contentTypeVersion="9" ma:contentTypeDescription="新しいドキュメントを作成します。" ma:contentTypeScope="" ma:versionID="b8c738f1e1383e7125a2c934da23d2c4">
  <xsd:schema xmlns:xsd="http://www.w3.org/2001/XMLSchema" xmlns:xs="http://www.w3.org/2001/XMLSchema" xmlns:p="http://schemas.microsoft.com/office/2006/metadata/properties" xmlns:ns2="c3fc1635-8bf4-43e6-977e-44e0a42a05a7" targetNamespace="http://schemas.microsoft.com/office/2006/metadata/properties" ma:root="true" ma:fieldsID="16714c6c746b02da57cc231dfec7afc5" ns2:_="">
    <xsd:import namespace="c3fc1635-8bf4-43e6-977e-44e0a42a05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c1635-8bf4-43e6-977e-44e0a42a05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117EF9-4C0E-417B-B524-A79590ABEC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c1635-8bf4-43e6-977e-44e0a42a05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5FC35A-8013-439D-A0E2-3B08F3F014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3D0AAA-317B-416F-B1BA-1DACA7C8FBE1}">
  <ds:schemaRefs>
    <ds:schemaRef ds:uri="http://schemas.microsoft.com/office/2006/documentManagement/types"/>
    <ds:schemaRef ds:uri="c3fc1635-8bf4-43e6-977e-44e0a42a05a7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試算シート_ICTを活用した効率的な硝化制御技術</vt:lpstr>
      <vt:lpstr>試算シート_記載例</vt:lpstr>
      <vt:lpstr>試算シート_記載例!Print_Area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中村信幸 / NAKAMURA，NOBUYUKI</cp:lastModifiedBy>
  <cp:lastPrinted>2019-09-12T23:44:42Z</cp:lastPrinted>
  <dcterms:created xsi:type="dcterms:W3CDTF">2019-06-12T01:14:22Z</dcterms:created>
  <dcterms:modified xsi:type="dcterms:W3CDTF">2020-09-08T07:49:12Z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0x010100EA714A18FE38604798ABBD590E7C4437</vt:lpwstr>
  </property>
</Properties>
</file>